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SREA\Planification ecologique\Déclinaison MASA\Haies\AAP Haies\Investissement\révision0106\"/>
    </mc:Choice>
  </mc:AlternateContent>
  <bookViews>
    <workbookView xWindow="0" yWindow="0" windowWidth="14380" windowHeight="4190" tabRatio="500"/>
  </bookViews>
  <sheets>
    <sheet name="Haies" sheetId="1" r:id="rId1"/>
    <sheet name="Agroforesterie" sheetId="2" r:id="rId2"/>
    <sheet name="Barême" sheetId="3" r:id="rId3"/>
    <sheet name="Récapitulatif" sheetId="4" r:id="rId4"/>
  </sheets>
  <definedNames>
    <definedName name="agrarbu">Barême!$I$39</definedName>
    <definedName name="agrarbuvl">Barême!$I$40</definedName>
    <definedName name="agrdom">Barême!$I$48</definedName>
    <definedName name="agrent">Barême!$I$52</definedName>
    <definedName name="agrfor">Barême!$I$53</definedName>
    <definedName name="agrfru">Barême!$I$38</definedName>
    <definedName name="agrmfr">Barême!$I$37</definedName>
    <definedName name="agroplt">Barême!$I$33</definedName>
    <definedName name="agrosol">Barême!$I$32</definedName>
    <definedName name="agrpaill">Barême!$I$41</definedName>
    <definedName name="agrper">Barême!$I$47</definedName>
    <definedName name="agrplss">Barême!$I$35</definedName>
    <definedName name="agrpopaill">Barême!$I$42</definedName>
    <definedName name="agrposedom">Barême!$I$49</definedName>
    <definedName name="agrposegg">Barême!$I$44</definedName>
    <definedName name="agrprotgg">Barême!$I$43</definedName>
    <definedName name="agrtrico">Barême!$I$45</definedName>
    <definedName name="agrtricopep">Barême!$I$46</definedName>
    <definedName name="agrvl">Barême!$I$36</definedName>
    <definedName name="barb">Barême!$I$6</definedName>
    <definedName name="ben1r">Barême!$I$5</definedName>
    <definedName name="ben2r">Barême!$K$5</definedName>
    <definedName name="elec">Barême!$K$6</definedName>
    <definedName name="ent1r">Barême!$I$24</definedName>
    <definedName name="ent2r">Barême!$K$24</definedName>
    <definedName name="miseplant1r">Barême!$I$13</definedName>
    <definedName name="miseplant2r">Barême!$K$13</definedName>
    <definedName name="paill1r">Barême!$I$20</definedName>
    <definedName name="paill2r">Barême!$K$20</definedName>
    <definedName name="plant1r">Barême!$I$9</definedName>
    <definedName name="plant2r">Barême!$K$9</definedName>
    <definedName name="plantmfr1r">Barême!$I$11</definedName>
    <definedName name="plantmfr2r">Barême!$K$11</definedName>
    <definedName name="plantvl1r">Barême!$I$10</definedName>
    <definedName name="plantvl2r">Barême!$K$10</definedName>
    <definedName name="posegg1r">Barême!$I$16</definedName>
    <definedName name="posegg2r">Barême!$K$16</definedName>
    <definedName name="posepaill1r">Barême!$I$21</definedName>
    <definedName name="posepaill2r">Barême!$K$21</definedName>
    <definedName name="posepg1r">Barême!$I$17</definedName>
    <definedName name="posepg2r">Barême!$K$17</definedName>
    <definedName name="prep1r">Barême!$I$12</definedName>
    <definedName name="prep2r">Barême!$K$12</definedName>
    <definedName name="protgg1r">Barême!$I$14</definedName>
    <definedName name="protgg2r">Barême!$K$14</definedName>
    <definedName name="protpg1r">Barême!$I$15</definedName>
    <definedName name="protpg2r">Barême!$K$15</definedName>
    <definedName name="rnabarb">barême #REF!</definedName>
    <definedName name="rnaben">barême #REF!</definedName>
    <definedName name="rnabenjes">barême #REF!</definedName>
    <definedName name="rnabroy">barême #REF!</definedName>
    <definedName name="rnaelec">barême #REF!</definedName>
    <definedName name="rnaenr">barême #REF!</definedName>
    <definedName name="rnapaill">barême #REF!</definedName>
    <definedName name="rnasem">barême #REF!</definedName>
    <definedName name="rnasol">barême #REF!</definedName>
    <definedName name="taille1r">Barême!$I$25</definedName>
    <definedName name="taille2r">Barême!$K$25</definedName>
    <definedName name="talus">Barême!$I$4</definedName>
    <definedName name="tric1r">Barême!$I$18</definedName>
    <definedName name="tric2r">Barême!$K$18</definedName>
    <definedName name="tricpep1r">Barême!$I$19</definedName>
    <definedName name="tricpep2r">Barême!$K$19</definedName>
    <definedName name="_xlnm.Print_Area" localSheetId="1">Agroforesterie!$A$1:$AM$31</definedName>
    <definedName name="_xlnm.Print_Area" localSheetId="0">Haies!$B$1:$Z$80</definedName>
    <definedName name="_xlnm.Print_Area" localSheetId="3">Récapitulatif!$A$1:$H$31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7" i="2" l="1"/>
  <c r="D36" i="2"/>
  <c r="C52" i="1"/>
  <c r="C3" i="4" l="1"/>
  <c r="O33" i="2"/>
  <c r="M33" i="2"/>
  <c r="K33" i="2"/>
  <c r="I33" i="2"/>
  <c r="G33" i="2"/>
  <c r="E33" i="2"/>
  <c r="C33" i="2"/>
  <c r="O32" i="2"/>
  <c r="M32" i="2"/>
  <c r="K32" i="2"/>
  <c r="I32" i="2"/>
  <c r="G32" i="2"/>
  <c r="E32" i="2"/>
  <c r="C32" i="2"/>
  <c r="O31" i="2"/>
  <c r="M31" i="2"/>
  <c r="K31" i="2"/>
  <c r="I31" i="2"/>
  <c r="G31" i="2"/>
  <c r="E31" i="2"/>
  <c r="C31" i="2"/>
  <c r="O30" i="2"/>
  <c r="M30" i="2"/>
  <c r="K30" i="2"/>
  <c r="I30" i="2"/>
  <c r="G30" i="2"/>
  <c r="E30" i="2"/>
  <c r="C30" i="2"/>
  <c r="O29" i="2"/>
  <c r="M29" i="2"/>
  <c r="K29" i="2"/>
  <c r="I29" i="2"/>
  <c r="G29" i="2"/>
  <c r="E29" i="2"/>
  <c r="C29" i="2"/>
  <c r="O28" i="2"/>
  <c r="M28" i="2"/>
  <c r="M34" i="2" s="1"/>
  <c r="K28" i="2"/>
  <c r="I28" i="2"/>
  <c r="I34" i="2" s="1"/>
  <c r="G28" i="2"/>
  <c r="G34" i="2" s="1"/>
  <c r="E28" i="2"/>
  <c r="C28" i="2"/>
  <c r="C34" i="2" s="1"/>
  <c r="O24" i="2"/>
  <c r="N24" i="2"/>
  <c r="M24" i="2"/>
  <c r="L24" i="2"/>
  <c r="K24" i="2"/>
  <c r="E24" i="2"/>
  <c r="C12" i="4" s="1"/>
  <c r="D24" i="2"/>
  <c r="C24" i="2"/>
  <c r="S23" i="2"/>
  <c r="Q23" i="2"/>
  <c r="J23" i="2"/>
  <c r="H23" i="2"/>
  <c r="F23" i="2"/>
  <c r="S22" i="2"/>
  <c r="Q22" i="2"/>
  <c r="J22" i="2"/>
  <c r="H22" i="2"/>
  <c r="F22" i="2"/>
  <c r="S21" i="2"/>
  <c r="Q21" i="2"/>
  <c r="J21" i="2"/>
  <c r="H21" i="2"/>
  <c r="F21" i="2"/>
  <c r="S20" i="2"/>
  <c r="Q20" i="2"/>
  <c r="J20" i="2"/>
  <c r="H20" i="2"/>
  <c r="F20" i="2"/>
  <c r="S19" i="2"/>
  <c r="Q19" i="2"/>
  <c r="J19" i="2"/>
  <c r="H19" i="2"/>
  <c r="F19" i="2"/>
  <c r="S18" i="2"/>
  <c r="Q18" i="2"/>
  <c r="J18" i="2"/>
  <c r="J24" i="2" s="1"/>
  <c r="H18" i="2"/>
  <c r="F18" i="2"/>
  <c r="O9" i="2"/>
  <c r="R60" i="1"/>
  <c r="Q60" i="1"/>
  <c r="J60" i="1"/>
  <c r="I60" i="1"/>
  <c r="H60" i="1"/>
  <c r="G60" i="1"/>
  <c r="F60" i="1"/>
  <c r="E60" i="1"/>
  <c r="C60" i="1"/>
  <c r="P60" i="1" s="1"/>
  <c r="B60" i="1"/>
  <c r="M59" i="1"/>
  <c r="C59" i="1"/>
  <c r="Q59" i="1" s="1"/>
  <c r="B59" i="1"/>
  <c r="R58" i="1"/>
  <c r="Q58" i="1"/>
  <c r="P58" i="1"/>
  <c r="M58" i="1"/>
  <c r="L58" i="1"/>
  <c r="K58" i="1"/>
  <c r="J58" i="1"/>
  <c r="I58" i="1"/>
  <c r="H58" i="1"/>
  <c r="G58" i="1"/>
  <c r="F58" i="1"/>
  <c r="E58" i="1"/>
  <c r="D58" i="1"/>
  <c r="C58" i="1"/>
  <c r="O58" i="1" s="1"/>
  <c r="B58" i="1"/>
  <c r="C57" i="1"/>
  <c r="B57" i="1"/>
  <c r="R56" i="1"/>
  <c r="N56" i="1"/>
  <c r="M56" i="1"/>
  <c r="J56" i="1"/>
  <c r="I56" i="1"/>
  <c r="H56" i="1"/>
  <c r="G56" i="1"/>
  <c r="F56" i="1"/>
  <c r="C56" i="1"/>
  <c r="Q56" i="1" s="1"/>
  <c r="B56" i="1"/>
  <c r="Q55" i="1"/>
  <c r="P55" i="1"/>
  <c r="G55" i="1"/>
  <c r="F55" i="1"/>
  <c r="E55" i="1"/>
  <c r="D55" i="1"/>
  <c r="L55" i="1" s="1"/>
  <c r="C55" i="1"/>
  <c r="B55" i="1"/>
  <c r="N54" i="1"/>
  <c r="M54" i="1"/>
  <c r="J54" i="1"/>
  <c r="I54" i="1"/>
  <c r="C54" i="1"/>
  <c r="Q54" i="1" s="1"/>
  <c r="B54" i="1"/>
  <c r="C53" i="1"/>
  <c r="I53" i="1" s="1"/>
  <c r="B53" i="1"/>
  <c r="N52" i="1"/>
  <c r="J52" i="1"/>
  <c r="D52" i="1"/>
  <c r="B52" i="1"/>
  <c r="H45" i="1"/>
  <c r="C45" i="1"/>
  <c r="B45" i="1"/>
  <c r="H44" i="1"/>
  <c r="C44" i="1"/>
  <c r="B44" i="1"/>
  <c r="C43" i="1"/>
  <c r="H43" i="1" s="1"/>
  <c r="B43" i="1"/>
  <c r="C42" i="1"/>
  <c r="H42" i="1" s="1"/>
  <c r="B42" i="1"/>
  <c r="H41" i="1"/>
  <c r="C41" i="1"/>
  <c r="B41" i="1"/>
  <c r="H40" i="1"/>
  <c r="C40" i="1"/>
  <c r="B40" i="1"/>
  <c r="C39" i="1"/>
  <c r="H39" i="1" s="1"/>
  <c r="B39" i="1"/>
  <c r="C38" i="1"/>
  <c r="H38" i="1" s="1"/>
  <c r="B38" i="1"/>
  <c r="C37" i="1"/>
  <c r="H37" i="1" s="1"/>
  <c r="B37" i="1"/>
  <c r="H36" i="1"/>
  <c r="C36" i="1"/>
  <c r="B36" i="1"/>
  <c r="I28" i="1"/>
  <c r="D28" i="1"/>
  <c r="C4" i="4" s="1"/>
  <c r="O27" i="1"/>
  <c r="K27" i="1"/>
  <c r="J27" i="1"/>
  <c r="H27" i="1"/>
  <c r="F27" i="1"/>
  <c r="O26" i="1"/>
  <c r="K26" i="1"/>
  <c r="H26" i="1"/>
  <c r="F26" i="1"/>
  <c r="J26" i="1" s="1"/>
  <c r="O25" i="1"/>
  <c r="K25" i="1"/>
  <c r="J25" i="1"/>
  <c r="H25" i="1"/>
  <c r="F25" i="1"/>
  <c r="O24" i="1"/>
  <c r="K24" i="1"/>
  <c r="H24" i="1"/>
  <c r="F24" i="1"/>
  <c r="J24" i="1" s="1"/>
  <c r="O23" i="1"/>
  <c r="K23" i="1"/>
  <c r="H23" i="1"/>
  <c r="F23" i="1"/>
  <c r="J23" i="1" s="1"/>
  <c r="O22" i="1"/>
  <c r="K22" i="1"/>
  <c r="J22" i="1"/>
  <c r="H22" i="1"/>
  <c r="F22" i="1"/>
  <c r="O21" i="1"/>
  <c r="K21" i="1"/>
  <c r="H21" i="1"/>
  <c r="F21" i="1"/>
  <c r="J21" i="1" s="1"/>
  <c r="O20" i="1"/>
  <c r="K20" i="1"/>
  <c r="H20" i="1"/>
  <c r="F20" i="1"/>
  <c r="J20" i="1" s="1"/>
  <c r="O19" i="1"/>
  <c r="K19" i="1"/>
  <c r="F19" i="1"/>
  <c r="H19" i="1" s="1"/>
  <c r="O18" i="1"/>
  <c r="K18" i="1"/>
  <c r="F18" i="1"/>
  <c r="Q16" i="1"/>
  <c r="O13" i="1"/>
  <c r="O12" i="1"/>
  <c r="O11" i="1"/>
  <c r="O10" i="1"/>
  <c r="O9" i="1"/>
  <c r="O8" i="1"/>
  <c r="O7" i="1"/>
  <c r="O6" i="1"/>
  <c r="O5" i="1"/>
  <c r="O4" i="1"/>
  <c r="O3" i="1"/>
  <c r="O2" i="1"/>
  <c r="O1" i="1"/>
  <c r="K28" i="1" l="1"/>
  <c r="J19" i="1"/>
  <c r="G53" i="1"/>
  <c r="Q24" i="2"/>
  <c r="S24" i="2"/>
  <c r="E34" i="2"/>
  <c r="P34" i="2" s="1"/>
  <c r="K34" i="2"/>
  <c r="O34" i="2"/>
  <c r="F24" i="2"/>
  <c r="H24" i="2"/>
  <c r="C13" i="4"/>
  <c r="L52" i="1"/>
  <c r="K52" i="1"/>
  <c r="F28" i="1"/>
  <c r="Q52" i="1"/>
  <c r="F52" i="1"/>
  <c r="I55" i="1"/>
  <c r="J55" i="1"/>
  <c r="F59" i="1"/>
  <c r="H52" i="1"/>
  <c r="M53" i="1"/>
  <c r="F54" i="1"/>
  <c r="R54" i="1"/>
  <c r="K55" i="1"/>
  <c r="D56" i="1"/>
  <c r="P56" i="1"/>
  <c r="I57" i="1"/>
  <c r="N58" i="1"/>
  <c r="G59" i="1"/>
  <c r="O57" i="1"/>
  <c r="E52" i="1"/>
  <c r="J53" i="1"/>
  <c r="J61" i="1" s="1"/>
  <c r="R52" i="1"/>
  <c r="D54" i="1"/>
  <c r="G57" i="1"/>
  <c r="G52" i="1"/>
  <c r="E54" i="1"/>
  <c r="O56" i="1"/>
  <c r="H57" i="1"/>
  <c r="R59" i="1"/>
  <c r="I52" i="1"/>
  <c r="I61" i="1" s="1"/>
  <c r="N53" i="1"/>
  <c r="N61" i="1" s="1"/>
  <c r="G54" i="1"/>
  <c r="E56" i="1"/>
  <c r="J57" i="1"/>
  <c r="H59" i="1"/>
  <c r="M60" i="1"/>
  <c r="O53" i="1"/>
  <c r="H54" i="1"/>
  <c r="M55" i="1"/>
  <c r="I59" i="1"/>
  <c r="N60" i="1"/>
  <c r="D53" i="1"/>
  <c r="P53" i="1"/>
  <c r="N55" i="1"/>
  <c r="J59" i="1"/>
  <c r="O60" i="1"/>
  <c r="E53" i="1"/>
  <c r="Q53" i="1"/>
  <c r="O55" i="1"/>
  <c r="M57" i="1"/>
  <c r="D60" i="1"/>
  <c r="H18" i="1"/>
  <c r="H28" i="1" s="1"/>
  <c r="C5" i="4" s="1"/>
  <c r="C18" i="4" s="1"/>
  <c r="M52" i="1"/>
  <c r="F53" i="1"/>
  <c r="R53" i="1"/>
  <c r="N57" i="1"/>
  <c r="O52" i="1"/>
  <c r="H53" i="1"/>
  <c r="R55" i="1"/>
  <c r="D57" i="1"/>
  <c r="P57" i="1"/>
  <c r="N59" i="1"/>
  <c r="E57" i="1"/>
  <c r="Q57" i="1"/>
  <c r="O59" i="1"/>
  <c r="P52" i="1"/>
  <c r="O54" i="1"/>
  <c r="H55" i="1"/>
  <c r="F57" i="1"/>
  <c r="R57" i="1"/>
  <c r="D59" i="1"/>
  <c r="P59" i="1"/>
  <c r="E59" i="1"/>
  <c r="P54" i="1"/>
  <c r="M61" i="1" l="1"/>
  <c r="Q61" i="1"/>
  <c r="G61" i="1"/>
  <c r="O61" i="1"/>
  <c r="C14" i="4"/>
  <c r="C40" i="2"/>
  <c r="C15" i="4" s="1"/>
  <c r="K53" i="1"/>
  <c r="L53" i="1"/>
  <c r="L54" i="1"/>
  <c r="K54" i="1"/>
  <c r="J18" i="1"/>
  <c r="J28" i="1" s="1"/>
  <c r="P61" i="1"/>
  <c r="R61" i="1"/>
  <c r="L56" i="1"/>
  <c r="K56" i="1"/>
  <c r="D61" i="1"/>
  <c r="H61" i="1"/>
  <c r="K60" i="1"/>
  <c r="L60" i="1"/>
  <c r="E61" i="1"/>
  <c r="L57" i="1"/>
  <c r="K57" i="1"/>
  <c r="L59" i="1"/>
  <c r="K59" i="1"/>
  <c r="F61" i="1"/>
  <c r="D63" i="1" l="1"/>
  <c r="C6" i="4" s="1"/>
  <c r="L61" i="1"/>
  <c r="K61" i="1"/>
  <c r="C61" i="1" l="1"/>
  <c r="C8" i="4" s="1"/>
  <c r="C17" i="4" s="1"/>
  <c r="D64" i="1"/>
  <c r="C7" i="4" s="1"/>
  <c r="D66" i="1" l="1"/>
</calcChain>
</file>

<file path=xl/sharedStrings.xml><?xml version="1.0" encoding="utf-8"?>
<sst xmlns="http://schemas.openxmlformats.org/spreadsheetml/2006/main" count="356" uniqueCount="229">
  <si>
    <t>Appel à projets "SOUTIEN AUX INVESTISSEMENTS POUR DES PLANTATIONS DE HAIES ET D’ALIGNEMENTS D’ARBRES "</t>
  </si>
  <si>
    <t>Annexe 1 - Fiche de calcul des montants de dépenses éligibles volet "plantation de haies"</t>
  </si>
  <si>
    <t>Pièce à joindre au dossier de demande d'aide</t>
  </si>
  <si>
    <t>Oui</t>
  </si>
  <si>
    <t>Non</t>
  </si>
  <si>
    <t>Porteur de projet :</t>
  </si>
  <si>
    <t>Cellules à renseigner pour chaque linéaire de haie</t>
  </si>
  <si>
    <t>Cellules non modifiables</t>
  </si>
  <si>
    <t>xx</t>
  </si>
  <si>
    <t>Ne respecte pas les conditions d'éligibilité</t>
  </si>
  <si>
    <t>Nombre de plants à l'achat &gt; Nombre de plants théorique</t>
  </si>
  <si>
    <t xml:space="preserve"> </t>
  </si>
  <si>
    <t>1 - Caractéristiques générales de la haie</t>
  </si>
  <si>
    <t>Identification</t>
  </si>
  <si>
    <t>Caractéristiques de la haie</t>
  </si>
  <si>
    <t>Indicateur plan de relance (kml)</t>
  </si>
  <si>
    <t>Identification de la parcelle</t>
  </si>
  <si>
    <t>Identification de la haie</t>
  </si>
  <si>
    <t>Longueur de la haie en ml</t>
  </si>
  <si>
    <t>Nombre de rang</t>
  </si>
  <si>
    <t>Linéaire en ml</t>
  </si>
  <si>
    <t>Espacement entre plants sur le rang en m</t>
  </si>
  <si>
    <t>Nombre théorique de plants de la haie</t>
  </si>
  <si>
    <t>Nombre d'arbres (min 20%)</t>
  </si>
  <si>
    <t>Nombre théorique d'arbustes</t>
  </si>
  <si>
    <t>Linéaire total en km</t>
  </si>
  <si>
    <t>a</t>
  </si>
  <si>
    <t>Total</t>
  </si>
  <si>
    <t>2 - Travaux prévisionnels</t>
  </si>
  <si>
    <t xml:space="preserve">TRAVAUX DE PREPARATION DE L'IMPLANTATION DE LA HAIE  </t>
  </si>
  <si>
    <t>PLANTATION</t>
  </si>
  <si>
    <t>ENTRETIEN POST-PLANTATION</t>
  </si>
  <si>
    <t>Création d'un talus</t>
  </si>
  <si>
    <t>Mise en place d'une bande enherbée</t>
  </si>
  <si>
    <t>Protection bétail : clôtures fil barbelé</t>
  </si>
  <si>
    <t>Protection bétail : clôtures électriques</t>
  </si>
  <si>
    <t>Préparation du sol</t>
  </si>
  <si>
    <t>Trico en pépinière</t>
  </si>
  <si>
    <t>Achat des plants</t>
  </si>
  <si>
    <t>Mise en place des plants</t>
  </si>
  <si>
    <t>Achat du paillage</t>
  </si>
  <si>
    <t>Mise en place du paillage</t>
  </si>
  <si>
    <t>Achat de protections grands herbivores (Arbres)</t>
  </si>
  <si>
    <t>Pose de protections grands herbivores</t>
  </si>
  <si>
    <t>Achat de protections petits herbivores (Arbustes)</t>
  </si>
  <si>
    <t>Pose de protections petits herbivores</t>
  </si>
  <si>
    <t>Trico (1 passage après plantation)</t>
  </si>
  <si>
    <t>Entretien post plantation n+1</t>
  </si>
  <si>
    <t>Taille de formation (1ère taille plantation année n+3)</t>
  </si>
  <si>
    <t>sélectionner Oui/Non(poste optionnel)</t>
  </si>
  <si>
    <t>Poste obligatoire</t>
  </si>
  <si>
    <t>Nombre de plants "végétal local"</t>
  </si>
  <si>
    <t>Nombre de plants MFR</t>
  </si>
  <si>
    <t>Quantité</t>
  </si>
  <si>
    <t>3 - Calcul des montants éligibles</t>
  </si>
  <si>
    <t>Mise en place de la bande enherbée</t>
  </si>
  <si>
    <t>Plants</t>
  </si>
  <si>
    <t>Achat de protections grands herbivores</t>
  </si>
  <si>
    <t>Achat de protections petits herbivores</t>
  </si>
  <si>
    <t>Travaux de préparation</t>
  </si>
  <si>
    <t>Travaux de plantation</t>
  </si>
  <si>
    <t>Signature du demandeur</t>
  </si>
  <si>
    <t xml:space="preserve">Fait à : </t>
  </si>
  <si>
    <t>Le</t>
  </si>
  <si>
    <t>Nom, Prénom, Signature(s) :</t>
  </si>
  <si>
    <t>Plantation intra parcellaire</t>
  </si>
  <si>
    <t>Paillage</t>
  </si>
  <si>
    <t>Surface de la parcelle (ha)</t>
  </si>
  <si>
    <t>Linéaire (km)</t>
  </si>
  <si>
    <t>Nombre d'arbres</t>
  </si>
  <si>
    <t>Densité arbre/ha (entre 30 et 100)</t>
  </si>
  <si>
    <t>sélectionner Oui/Non</t>
  </si>
  <si>
    <t>Arbres sans label</t>
  </si>
  <si>
    <t>Arbres végétal local</t>
  </si>
  <si>
    <t>Arbres MFR</t>
  </si>
  <si>
    <t>Arbustes sans label</t>
  </si>
  <si>
    <t>Arbustes végétal local</t>
  </si>
  <si>
    <t>Achat</t>
  </si>
  <si>
    <t>Pose</t>
  </si>
  <si>
    <t>b</t>
  </si>
  <si>
    <t>Protections</t>
  </si>
  <si>
    <t>Achat protections grands herbivores</t>
  </si>
  <si>
    <t>Pose protections grands herbivores</t>
  </si>
  <si>
    <t>Perchoirs</t>
  </si>
  <si>
    <t>Achat protections animaux domestiques</t>
  </si>
  <si>
    <t>Pose protections animaux domestiques</t>
  </si>
  <si>
    <t>Haie 1 rang</t>
  </si>
  <si>
    <t>Haie 2 rangs</t>
  </si>
  <si>
    <t>TALUS</t>
  </si>
  <si>
    <t xml:space="preserve">Création d’un talus </t>
  </si>
  <si>
    <t xml:space="preserve"> 4,69€ HT/ml </t>
  </si>
  <si>
    <t xml:space="preserve"> Sans objet1 </t>
  </si>
  <si>
    <t>talus</t>
  </si>
  <si>
    <t>BANDE ENHERBEE</t>
  </si>
  <si>
    <t>De 3 m de large en référence à la MAEC couvert  06</t>
  </si>
  <si>
    <t xml:space="preserve"> 0,7€ HT/ml </t>
  </si>
  <si>
    <t xml:space="preserve"> 0,93€ HT/ml </t>
  </si>
  <si>
    <t>ben1r</t>
  </si>
  <si>
    <t>ben2r</t>
  </si>
  <si>
    <t>CLOTURE FIXE BARBELE</t>
  </si>
  <si>
    <t xml:space="preserve"> 4,50€ HT/ml </t>
  </si>
  <si>
    <t>barb</t>
  </si>
  <si>
    <t>elec</t>
  </si>
  <si>
    <t>CLOTURE FIXE ELECTRIQUES</t>
  </si>
  <si>
    <t xml:space="preserve"> 1,50€ HT/ml </t>
  </si>
  <si>
    <t>PLANTS</t>
  </si>
  <si>
    <t>Achat des plants sans label</t>
  </si>
  <si>
    <t xml:space="preserve"> 1,48€ HT/ml </t>
  </si>
  <si>
    <t>1,97€ HT/ml </t>
  </si>
  <si>
    <t>plant1r</t>
  </si>
  <si>
    <t>plant2r</t>
  </si>
  <si>
    <t>Achat des plants végétal Local</t>
  </si>
  <si>
    <t xml:space="preserve"> 2,01€ HT/ml </t>
  </si>
  <si>
    <t>2,67€ HT/ml</t>
  </si>
  <si>
    <t>plantvl1r</t>
  </si>
  <si>
    <t>plantvl2r</t>
  </si>
  <si>
    <t>Achat de plants MFR</t>
  </si>
  <si>
    <t xml:space="preserve"> 1,61€ HT/ml </t>
  </si>
  <si>
    <t>2,14€ HT/ml</t>
  </si>
  <si>
    <t>plantmfr1r</t>
  </si>
  <si>
    <t>plantmfr2r</t>
  </si>
  <si>
    <t>SOL et PLANTATION</t>
  </si>
  <si>
    <t xml:space="preserve"> 2,29€ HT/ml </t>
  </si>
  <si>
    <t xml:space="preserve"> 3,05€ HT/ml </t>
  </si>
  <si>
    <t>prep1r</t>
  </si>
  <si>
    <t>prep2r</t>
  </si>
  <si>
    <t>et Mise en place des plants</t>
  </si>
  <si>
    <t xml:space="preserve"> 1,85€ HT/ml </t>
  </si>
  <si>
    <t xml:space="preserve"> 2,46€ HT/ml </t>
  </si>
  <si>
    <t>miseplant1r</t>
  </si>
  <si>
    <t>miseplant2r</t>
  </si>
  <si>
    <t>PROTECTION</t>
  </si>
  <si>
    <t>Achat des protection grands gibiers</t>
  </si>
  <si>
    <t xml:space="preserve"> 2,8€ HT/ml </t>
  </si>
  <si>
    <t xml:space="preserve"> 3,72€ HT/ml </t>
  </si>
  <si>
    <t>protgg1r</t>
  </si>
  <si>
    <t>protgg2r</t>
  </si>
  <si>
    <t>Achat des protection petits gibiers</t>
  </si>
  <si>
    <t xml:space="preserve"> 0,89€ HT/ml </t>
  </si>
  <si>
    <t xml:space="preserve"> 1,18€ HT/ml </t>
  </si>
  <si>
    <t>protpg1r</t>
  </si>
  <si>
    <t>protpg2r</t>
  </si>
  <si>
    <t>Pose des protections grands gibiers</t>
  </si>
  <si>
    <t xml:space="preserve"> 2,03€ HT/ml </t>
  </si>
  <si>
    <t xml:space="preserve"> 2,7€ HT/ml </t>
  </si>
  <si>
    <t>posegg1r</t>
  </si>
  <si>
    <t>posegg2r</t>
  </si>
  <si>
    <t>Pose des protection petits gibiers</t>
  </si>
  <si>
    <t xml:space="preserve"> 1,33€ HT/ml </t>
  </si>
  <si>
    <t xml:space="preserve"> 1,77€ HT/ml </t>
  </si>
  <si>
    <t>posepg1r</t>
  </si>
  <si>
    <t>posepg2r</t>
  </si>
  <si>
    <t xml:space="preserve">Application (1 passage) d'un répulsif gibier type Trico (ou équivalent) après plantation et dans les conditions optimales d'apllication (temps sec, T°&gt;10°C, avant débourrage) </t>
  </si>
  <si>
    <t xml:space="preserve"> 0,72€ HT/ml </t>
  </si>
  <si>
    <t xml:space="preserve"> 0,95€ HT/ml </t>
  </si>
  <si>
    <t>tric1r</t>
  </si>
  <si>
    <t>tric2r</t>
  </si>
  <si>
    <t>Application d'un répulsif giblier type Trico en pépinière</t>
  </si>
  <si>
    <t xml:space="preserve"> 0,22€ HT/ml </t>
  </si>
  <si>
    <t xml:space="preserve"> 0,29€ HT/ml </t>
  </si>
  <si>
    <t>tricpep1r</t>
  </si>
  <si>
    <t>tricpep2r</t>
  </si>
  <si>
    <t>PAILLAGE</t>
  </si>
  <si>
    <t>Fourniture paillage (€ HT/ml)²</t>
  </si>
  <si>
    <t xml:space="preserve"> 2,50€ HT/ml </t>
  </si>
  <si>
    <t xml:space="preserve"> 3,33€ HT/ml </t>
  </si>
  <si>
    <t>paill1r</t>
  </si>
  <si>
    <t>paill2r</t>
  </si>
  <si>
    <t>Pose paillage (€ HT/ml)²</t>
  </si>
  <si>
    <t xml:space="preserve"> 1,82€ HT/ml </t>
  </si>
  <si>
    <t xml:space="preserve"> 2,42€ HT/ml </t>
  </si>
  <si>
    <t>posepaill1r</t>
  </si>
  <si>
    <t>posepaill2r</t>
  </si>
  <si>
    <t>TOTAL EN MOYENNE</t>
  </si>
  <si>
    <t xml:space="preserve"> 13,97€ HT/ml </t>
  </si>
  <si>
    <t>18,58€ HT/ml</t>
  </si>
  <si>
    <t>TRAVAUX DE PREPARATION DE L'IMPLANTATION D'ARBRES INTRAPARCELLAIRES</t>
  </si>
  <si>
    <t xml:space="preserve"> 3,41€ HT/arbre </t>
  </si>
  <si>
    <t>agrosol</t>
  </si>
  <si>
    <t xml:space="preserve"> 3,24€ HT/arbre </t>
  </si>
  <si>
    <t>agroplt</t>
  </si>
  <si>
    <t>Achat des arbres sans label</t>
  </si>
  <si>
    <t xml:space="preserve"> 2,42€ HT/arbre </t>
  </si>
  <si>
    <t>agrplss</t>
  </si>
  <si>
    <t>Achat des arbres végétal Local</t>
  </si>
  <si>
    <t xml:space="preserve"> 3,6€ HT/arbre </t>
  </si>
  <si>
    <t>agrvl</t>
  </si>
  <si>
    <t>Achat des arbres MFR</t>
  </si>
  <si>
    <t xml:space="preserve"> 2,91€ HT/arbre </t>
  </si>
  <si>
    <t>agrmfr</t>
  </si>
  <si>
    <t>Achat des arbustes sans label</t>
  </si>
  <si>
    <t xml:space="preserve"> 1,9€ HT/arbre </t>
  </si>
  <si>
    <t>agrarbu</t>
  </si>
  <si>
    <t>Achat des arbustes végétal Local</t>
  </si>
  <si>
    <t xml:space="preserve"> 2,21€ HT/arbre </t>
  </si>
  <si>
    <t>agrarbuvl</t>
  </si>
  <si>
    <r>
      <rPr>
        <sz val="10"/>
        <color rgb="FF000000"/>
        <rFont val="Calibri"/>
        <family val="2"/>
      </rPr>
      <t>Fourniture paillage (€ HT/arbre)</t>
    </r>
    <r>
      <rPr>
        <sz val="8"/>
        <color rgb="FF000000"/>
        <rFont val="Calibri"/>
        <family val="2"/>
      </rPr>
      <t>1</t>
    </r>
  </si>
  <si>
    <t xml:space="preserve"> 2,65€ HT/arbre </t>
  </si>
  <si>
    <t>agrpaill</t>
  </si>
  <si>
    <r>
      <rPr>
        <sz val="10"/>
        <color rgb="FF000000"/>
        <rFont val="Calibri"/>
        <family val="2"/>
      </rPr>
      <t>Pose paillage (€ HT/arbre)</t>
    </r>
    <r>
      <rPr>
        <sz val="8"/>
        <color rgb="FF000000"/>
        <rFont val="Calibri"/>
        <family val="2"/>
      </rPr>
      <t>1</t>
    </r>
  </si>
  <si>
    <t xml:space="preserve"> 1,88€ HT/arbre </t>
  </si>
  <si>
    <t>agrpopaill</t>
  </si>
  <si>
    <t>PROCTECTION</t>
  </si>
  <si>
    <t xml:space="preserve"> 4,8€ HT/arbre </t>
  </si>
  <si>
    <t>agrprotgg</t>
  </si>
  <si>
    <t>agrposegg</t>
  </si>
  <si>
    <t>agrtrico</t>
  </si>
  <si>
    <t>agrtricopep</t>
  </si>
  <si>
    <t>Perchoirs (3/ha planté)</t>
  </si>
  <si>
    <t xml:space="preserve"> 1,98€ HT/arbre </t>
  </si>
  <si>
    <t>agrper</t>
  </si>
  <si>
    <t xml:space="preserve"> 19,32€ HT/arbre </t>
  </si>
  <si>
    <t>agrdom</t>
  </si>
  <si>
    <t>Pose des protections animaux domestiques</t>
  </si>
  <si>
    <t xml:space="preserve"> 5€ HT/arbre </t>
  </si>
  <si>
    <t>agrposedom</t>
  </si>
  <si>
    <t>TOTAL EN MOYENNE PARCELLE DE CULTURE</t>
  </si>
  <si>
    <t xml:space="preserve"> 23,45€ HT/arbre </t>
  </si>
  <si>
    <t>TOTAL EN MOYENNE PARCELLE D'ELEVAGE</t>
  </si>
  <si>
    <t xml:space="preserve"> 38,78€ HT/arbre </t>
  </si>
  <si>
    <t>Haies</t>
  </si>
  <si>
    <t>Nombre de haie</t>
  </si>
  <si>
    <t>Longueur de haie (m)</t>
  </si>
  <si>
    <t>Quantité de plants</t>
  </si>
  <si>
    <t>Coûts (€)</t>
  </si>
  <si>
    <t>Agroforesterie</t>
  </si>
  <si>
    <t>Coût total</t>
  </si>
  <si>
    <t>Quantité de plant totale</t>
  </si>
  <si>
    <t xml:space="preserve">Nombre de plants sans label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</si>
</sst>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%"/>
    <numFmt numFmtId="165" formatCode="\ * #,##0.00\ [$€-40C]\ ;\-* #,##0.00\ [$€-40C]\ ;\ * \-#\ [$€-40C]\ ;\ @\ "/>
    <numFmt numFmtId="166" formatCode="\ * #,##0.00&quot; € &quot;;\-* #,##0.00&quot; € &quot;;\ * \-#&quot; € &quot;;\ @\ "/>
  </numFmts>
  <fonts count="20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C00000"/>
      <name val="Calibri"/>
      <family val="2"/>
    </font>
    <font>
      <b/>
      <u/>
      <sz val="14"/>
      <color rgb="FF2E75B6"/>
      <name val="Calibri"/>
      <family val="2"/>
    </font>
    <font>
      <sz val="12"/>
      <color rgb="FFFFFFFF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5B9BD5"/>
      <name val="Calibri"/>
      <family val="2"/>
    </font>
    <font>
      <b/>
      <u/>
      <sz val="12"/>
      <color rgb="FF5B9BD5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C00000"/>
      <name val="Calibri"/>
      <family val="2"/>
    </font>
    <font>
      <sz val="8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FDBFBF"/>
        <bgColor rgb="FFFFC7CE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C5E0B4"/>
        <bgColor rgb="FFE2F0D9"/>
      </patternFill>
    </fill>
    <fill>
      <patternFill patternType="solid">
        <fgColor rgb="FFFFE699"/>
        <bgColor rgb="FFFFF2CC"/>
      </patternFill>
    </fill>
    <fill>
      <patternFill patternType="solid">
        <fgColor rgb="FFE2F0D9"/>
        <bgColor rgb="FFFFF2CC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FF2CC"/>
      </patternFill>
    </fill>
  </fills>
  <borders count="92">
    <border>
      <left/>
      <right/>
      <top/>
      <bottom/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/>
      <top/>
      <bottom/>
      <diagonal/>
    </border>
    <border>
      <left/>
      <right/>
      <top style="dotted">
        <color rgb="FF00B05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B050"/>
      </right>
      <top/>
      <bottom/>
      <diagonal/>
    </border>
    <border>
      <left/>
      <right style="dotted">
        <color rgb="FF00B050"/>
      </right>
      <top/>
      <bottom style="dotted">
        <color rgb="FF00B050"/>
      </bottom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 style="thin">
        <color rgb="FF00B050"/>
      </left>
      <right style="dotted">
        <color rgb="FF00B050"/>
      </right>
      <top/>
      <bottom style="dotted">
        <color rgb="FF00B050"/>
      </bottom>
      <diagonal/>
    </border>
    <border>
      <left/>
      <right style="dotted">
        <color rgb="FF5B9BD5"/>
      </right>
      <top/>
      <bottom style="dotted">
        <color rgb="FF00B050"/>
      </bottom>
      <diagonal/>
    </border>
    <border>
      <left style="dotted">
        <color rgb="FF5B9BD5"/>
      </left>
      <right style="dotted">
        <color rgb="FF00B050"/>
      </right>
      <top/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thin">
        <color rgb="FFFFFFFF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thin">
        <color rgb="FFFFFFFF"/>
      </top>
      <bottom/>
      <diagonal/>
    </border>
    <border>
      <left style="thin">
        <color rgb="FF00B050"/>
      </left>
      <right style="thin">
        <color rgb="FF00B050"/>
      </right>
      <top/>
      <bottom style="dotted">
        <color rgb="FF00B050"/>
      </bottom>
      <diagonal/>
    </border>
    <border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5B9BD5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/>
      <bottom/>
      <diagonal/>
    </border>
    <border>
      <left/>
      <right style="dotted">
        <color rgb="FF5B9BD5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/>
      <bottom style="dotted">
        <color rgb="FF00B050"/>
      </bottom>
      <diagonal/>
    </border>
    <border>
      <left/>
      <right style="dotted">
        <color rgb="FF5B9BD5"/>
      </right>
      <top/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FFFFFF"/>
      </bottom>
      <diagonal/>
    </border>
    <border>
      <left/>
      <right style="dotted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dotted">
        <color rgb="FF00B050"/>
      </bottom>
      <diagonal/>
    </border>
    <border>
      <left style="thin">
        <color rgb="FFFFFFFF"/>
      </left>
      <right/>
      <top/>
      <bottom style="dotted">
        <color rgb="FF00B050"/>
      </bottom>
      <diagonal/>
    </border>
    <border>
      <left style="thin">
        <color rgb="FFFFFFFF"/>
      </left>
      <right style="thin">
        <color rgb="FFFFFFFF"/>
      </right>
      <top/>
      <bottom style="dotted">
        <color rgb="FF00B050"/>
      </bottom>
      <diagonal/>
    </border>
    <border>
      <left style="thin">
        <color rgb="FFFFFFFF"/>
      </left>
      <right style="dotted">
        <color rgb="FFFFFFFF"/>
      </right>
      <top style="thin">
        <color rgb="FFFFFFFF"/>
      </top>
      <bottom style="dotted">
        <color rgb="FF00B050"/>
      </bottom>
      <diagonal/>
    </border>
    <border>
      <left style="thin">
        <color rgb="FFFFFFFF"/>
      </left>
      <right style="thin">
        <color rgb="FF00B050"/>
      </right>
      <top style="thin">
        <color rgb="FFFFFFFF"/>
      </top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5B9BD5"/>
      </left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 style="dotted">
        <color rgb="FF00B050"/>
      </right>
      <top/>
      <bottom/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/>
      <diagonal/>
    </border>
    <border>
      <left/>
      <right style="dotted">
        <color rgb="FF00B050"/>
      </right>
      <top style="dotted">
        <color rgb="FF00B050"/>
      </top>
      <bottom/>
      <diagonal/>
    </border>
    <border>
      <left/>
      <right style="thin">
        <color rgb="FF00B050"/>
      </right>
      <top style="dotted">
        <color rgb="FF00B050"/>
      </top>
      <bottom/>
      <diagonal/>
    </border>
    <border>
      <left style="dotted">
        <color rgb="FF00B050"/>
      </left>
      <right/>
      <top style="dotted">
        <color rgb="FF00B050"/>
      </top>
      <bottom/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/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dotted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rgb="FF00B050"/>
      </left>
      <right/>
      <top style="dotted">
        <color rgb="FF00B050"/>
      </top>
      <bottom style="thin">
        <color rgb="FF00B050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166" fontId="19" fillId="0" borderId="0" applyBorder="0" applyProtection="0"/>
    <xf numFmtId="164" fontId="19" fillId="0" borderId="0" applyBorder="0" applyProtection="0"/>
  </cellStyleXfs>
  <cellXfs count="27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/>
    <xf numFmtId="0" fontId="3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2" borderId="1" xfId="0" applyFill="1" applyBorder="1"/>
    <xf numFmtId="0" fontId="0" fillId="3" borderId="2" xfId="0" applyFill="1" applyBorder="1"/>
    <xf numFmtId="0" fontId="0" fillId="2" borderId="3" xfId="0" applyFont="1" applyFill="1" applyBorder="1"/>
    <xf numFmtId="0" fontId="4" fillId="4" borderId="4" xfId="0" applyFont="1" applyFill="1" applyBorder="1" applyAlignment="1">
      <alignment horizontal="center"/>
    </xf>
    <xf numFmtId="0" fontId="0" fillId="5" borderId="1" xfId="0" applyFill="1" applyBorder="1"/>
    <xf numFmtId="0" fontId="0" fillId="2" borderId="4" xfId="0" applyFill="1" applyBorder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/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hidden="1"/>
    </xf>
    <xf numFmtId="0" fontId="3" fillId="3" borderId="19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 horizontal="center" vertical="center"/>
    </xf>
    <xf numFmtId="0" fontId="3" fillId="0" borderId="0" xfId="0" applyFont="1"/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hidden="1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left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2" borderId="36" xfId="0" applyFont="1" applyFill="1" applyBorder="1"/>
    <xf numFmtId="0" fontId="3" fillId="2" borderId="3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0" fontId="0" fillId="7" borderId="43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44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0" fillId="7" borderId="45" xfId="0" applyFont="1" applyFill="1" applyBorder="1" applyAlignment="1">
      <alignment horizontal="center" vertical="center" wrapText="1"/>
    </xf>
    <xf numFmtId="0" fontId="0" fillId="7" borderId="4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0" fontId="3" fillId="3" borderId="21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20" xfId="2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0" xfId="2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26" xfId="2" applyNumberFormat="1" applyFont="1" applyBorder="1" applyAlignment="1" applyProtection="1">
      <alignment horizontal="center" vertical="center"/>
      <protection locked="0"/>
    </xf>
    <xf numFmtId="0" fontId="3" fillId="0" borderId="52" xfId="2" applyNumberFormat="1" applyFont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29" xfId="2" applyNumberFormat="1" applyFont="1" applyBorder="1" applyAlignment="1" applyProtection="1">
      <alignment horizontal="center" vertical="center"/>
      <protection locked="0"/>
    </xf>
    <xf numFmtId="0" fontId="3" fillId="0" borderId="12" xfId="2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0" borderId="57" xfId="2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0" fillId="2" borderId="59" xfId="0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/>
      <protection hidden="1"/>
    </xf>
    <xf numFmtId="165" fontId="3" fillId="3" borderId="22" xfId="0" applyNumberFormat="1" applyFont="1" applyFill="1" applyBorder="1" applyAlignment="1" applyProtection="1">
      <alignment horizontal="center"/>
      <protection hidden="1"/>
    </xf>
    <xf numFmtId="165" fontId="3" fillId="3" borderId="1" xfId="0" applyNumberFormat="1" applyFont="1" applyFill="1" applyBorder="1" applyAlignment="1" applyProtection="1">
      <alignment horizontal="center"/>
      <protection hidden="1"/>
    </xf>
    <xf numFmtId="165" fontId="3" fillId="3" borderId="20" xfId="0" applyNumberFormat="1" applyFont="1" applyFill="1" applyBorder="1" applyAlignment="1" applyProtection="1">
      <alignment horizontal="center"/>
      <protection hidden="1"/>
    </xf>
    <xf numFmtId="165" fontId="3" fillId="3" borderId="47" xfId="0" applyNumberFormat="1" applyFont="1" applyFill="1" applyBorder="1" applyAlignment="1" applyProtection="1">
      <alignment horizontal="center"/>
      <protection hidden="1"/>
    </xf>
    <xf numFmtId="165" fontId="3" fillId="3" borderId="23" xfId="0" applyNumberFormat="1" applyFont="1" applyFill="1" applyBorder="1" applyAlignment="1" applyProtection="1">
      <alignment horizontal="center"/>
      <protection hidden="1"/>
    </xf>
    <xf numFmtId="0" fontId="3" fillId="8" borderId="61" xfId="0" applyFont="1" applyFill="1" applyBorder="1" applyProtection="1">
      <protection hidden="1"/>
    </xf>
    <xf numFmtId="165" fontId="10" fillId="8" borderId="62" xfId="0" applyNumberFormat="1" applyFont="1" applyFill="1" applyBorder="1" applyProtection="1">
      <protection hidden="1"/>
    </xf>
    <xf numFmtId="165" fontId="3" fillId="8" borderId="61" xfId="0" applyNumberFormat="1" applyFont="1" applyFill="1" applyBorder="1" applyProtection="1">
      <protection hidden="1"/>
    </xf>
    <xf numFmtId="165" fontId="3" fillId="2" borderId="35" xfId="0" applyNumberFormat="1" applyFont="1" applyFill="1" applyBorder="1" applyProtection="1">
      <protection hidden="1"/>
    </xf>
    <xf numFmtId="0" fontId="0" fillId="2" borderId="63" xfId="0" applyFill="1" applyBorder="1" applyProtection="1">
      <protection locked="0"/>
    </xf>
    <xf numFmtId="0" fontId="0" fillId="2" borderId="64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68" xfId="0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70" xfId="0" applyFill="1" applyBorder="1" applyProtection="1">
      <protection locked="0"/>
    </xf>
    <xf numFmtId="0" fontId="0" fillId="2" borderId="0" xfId="0" applyFill="1" applyProtection="1">
      <protection hidden="1"/>
    </xf>
    <xf numFmtId="0" fontId="12" fillId="2" borderId="0" xfId="0" applyFont="1" applyFill="1"/>
    <xf numFmtId="0" fontId="13" fillId="2" borderId="0" xfId="0" applyFont="1" applyFill="1"/>
    <xf numFmtId="0" fontId="1" fillId="2" borderId="0" xfId="0" applyFont="1" applyFill="1" applyBorder="1"/>
    <xf numFmtId="0" fontId="0" fillId="2" borderId="36" xfId="0" applyFill="1" applyBorder="1"/>
    <xf numFmtId="0" fontId="0" fillId="2" borderId="36" xfId="0" applyFill="1" applyBorder="1" applyAlignment="1">
      <alignment horizontal="center"/>
    </xf>
    <xf numFmtId="0" fontId="0" fillId="2" borderId="38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4" fillId="7" borderId="41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7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20" xfId="0" applyFont="1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 vertical="center"/>
      <protection hidden="1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3" borderId="33" xfId="0" applyFont="1" applyFill="1" applyBorder="1" applyAlignment="1" applyProtection="1">
      <alignment horizontal="left"/>
      <protection hidden="1"/>
    </xf>
    <xf numFmtId="0" fontId="0" fillId="3" borderId="35" xfId="0" applyFill="1" applyBorder="1" applyAlignment="1" applyProtection="1">
      <alignment horizontal="center"/>
      <protection hidden="1"/>
    </xf>
    <xf numFmtId="165" fontId="0" fillId="3" borderId="61" xfId="0" applyNumberFormat="1" applyFill="1" applyBorder="1" applyAlignment="1" applyProtection="1">
      <alignment horizontal="center"/>
      <protection hidden="1"/>
    </xf>
    <xf numFmtId="165" fontId="0" fillId="3" borderId="34" xfId="0" applyNumberFormat="1" applyFill="1" applyBorder="1" applyAlignment="1" applyProtection="1">
      <alignment horizontal="center"/>
      <protection hidden="1"/>
    </xf>
    <xf numFmtId="165" fontId="0" fillId="3" borderId="33" xfId="0" applyNumberFormat="1" applyFill="1" applyBorder="1" applyAlignment="1" applyProtection="1">
      <alignment horizontal="center"/>
      <protection hidden="1"/>
    </xf>
    <xf numFmtId="165" fontId="0" fillId="3" borderId="73" xfId="0" applyNumberFormat="1" applyFill="1" applyBorder="1" applyAlignment="1" applyProtection="1">
      <alignment horizontal="center"/>
      <protection hidden="1"/>
    </xf>
    <xf numFmtId="165" fontId="0" fillId="3" borderId="35" xfId="0" applyNumberFormat="1" applyFill="1" applyBorder="1" applyAlignment="1" applyProtection="1">
      <alignment horizontal="center"/>
      <protection hidden="1"/>
    </xf>
    <xf numFmtId="165" fontId="0" fillId="3" borderId="74" xfId="0" applyNumberFormat="1" applyFill="1" applyBorder="1" applyAlignment="1" applyProtection="1">
      <alignment horizontal="center"/>
      <protection hidden="1"/>
    </xf>
    <xf numFmtId="165" fontId="1" fillId="2" borderId="0" xfId="0" applyNumberFormat="1" applyFont="1" applyFill="1" applyBorder="1" applyAlignment="1">
      <alignment horizontal="center"/>
    </xf>
    <xf numFmtId="0" fontId="0" fillId="0" borderId="11" xfId="0" applyBorder="1"/>
    <xf numFmtId="0" fontId="7" fillId="7" borderId="41" xfId="0" applyFont="1" applyFill="1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" borderId="75" xfId="0" applyFill="1" applyBorder="1"/>
    <xf numFmtId="165" fontId="0" fillId="3" borderId="35" xfId="0" applyNumberFormat="1" applyFill="1" applyBorder="1" applyProtection="1">
      <protection hidden="1"/>
    </xf>
    <xf numFmtId="0" fontId="16" fillId="2" borderId="0" xfId="0" applyFont="1" applyFill="1" applyBorder="1" applyAlignment="1">
      <alignment horizontal="left"/>
    </xf>
    <xf numFmtId="165" fontId="16" fillId="2" borderId="0" xfId="0" applyNumberFormat="1" applyFont="1" applyFill="1" applyBorder="1" applyAlignment="1">
      <alignment horizontal="left"/>
    </xf>
    <xf numFmtId="0" fontId="3" fillId="9" borderId="33" xfId="0" applyFont="1" applyFill="1" applyBorder="1" applyAlignment="1"/>
    <xf numFmtId="0" fontId="3" fillId="9" borderId="34" xfId="0" applyFont="1" applyFill="1" applyBorder="1" applyAlignment="1"/>
    <xf numFmtId="165" fontId="3" fillId="9" borderId="34" xfId="0" applyNumberFormat="1" applyFont="1" applyFill="1" applyBorder="1" applyAlignment="1" applyProtection="1">
      <protection hidden="1"/>
    </xf>
    <xf numFmtId="0" fontId="16" fillId="3" borderId="33" xfId="0" applyFont="1" applyFill="1" applyBorder="1" applyAlignment="1">
      <alignment horizontal="left"/>
    </xf>
    <xf numFmtId="165" fontId="16" fillId="3" borderId="35" xfId="0" applyNumberFormat="1" applyFont="1" applyFill="1" applyBorder="1" applyAlignment="1" applyProtection="1">
      <alignment horizontal="left"/>
      <protection hidden="1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7" fillId="2" borderId="76" xfId="0" applyFont="1" applyFill="1" applyBorder="1" applyAlignment="1">
      <alignment vertical="center" wrapText="1"/>
    </xf>
    <xf numFmtId="0" fontId="7" fillId="2" borderId="77" xfId="0" applyFont="1" applyFill="1" applyBorder="1" applyAlignment="1">
      <alignment vertical="center" wrapText="1"/>
    </xf>
    <xf numFmtId="0" fontId="0" fillId="2" borderId="78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/>
    </xf>
    <xf numFmtId="0" fontId="0" fillId="6" borderId="82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0" fillId="2" borderId="85" xfId="0" applyFont="1" applyFill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0" fillId="6" borderId="85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0" fillId="2" borderId="85" xfId="0" applyFont="1" applyFill="1" applyBorder="1" applyAlignment="1">
      <alignment horizontal="center"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3" fillId="6" borderId="81" xfId="0" applyFont="1" applyFill="1" applyBorder="1" applyAlignment="1">
      <alignment horizontal="center" vertical="center" wrapText="1"/>
    </xf>
    <xf numFmtId="0" fontId="3" fillId="6" borderId="8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35" xfId="0" applyFont="1" applyFill="1" applyBorder="1" applyProtection="1">
      <protection hidden="1"/>
    </xf>
    <xf numFmtId="0" fontId="3" fillId="9" borderId="35" xfId="0" applyFont="1" applyFill="1" applyBorder="1" applyAlignment="1" applyProtection="1">
      <protection hidden="1"/>
    </xf>
    <xf numFmtId="166" fontId="0" fillId="0" borderId="35" xfId="1" applyFont="1" applyBorder="1" applyAlignment="1" applyProtection="1">
      <protection hidden="1"/>
    </xf>
    <xf numFmtId="166" fontId="0" fillId="2" borderId="35" xfId="1" applyFont="1" applyFill="1" applyBorder="1" applyAlignment="1" applyProtection="1">
      <protection hidden="1"/>
    </xf>
    <xf numFmtId="0" fontId="3" fillId="2" borderId="35" xfId="0" applyFont="1" applyFill="1" applyBorder="1" applyAlignment="1" applyProtection="1">
      <protection hidden="1"/>
    </xf>
    <xf numFmtId="166" fontId="4" fillId="2" borderId="35" xfId="1" applyFont="1" applyFill="1" applyBorder="1" applyAlignment="1" applyProtection="1">
      <protection hidden="1"/>
    </xf>
    <xf numFmtId="165" fontId="3" fillId="3" borderId="2" xfId="0" applyNumberFormat="1" applyFont="1" applyFill="1" applyBorder="1" applyAlignment="1" applyProtection="1">
      <alignment horizontal="center"/>
      <protection hidden="1"/>
    </xf>
    <xf numFmtId="165" fontId="3" fillId="3" borderId="88" xfId="0" applyNumberFormat="1" applyFont="1" applyFill="1" applyBorder="1" applyAlignment="1" applyProtection="1">
      <alignment horizontal="center"/>
      <protection hidden="1"/>
    </xf>
    <xf numFmtId="165" fontId="3" fillId="8" borderId="33" xfId="0" applyNumberFormat="1" applyFont="1" applyFill="1" applyBorder="1" applyProtection="1">
      <protection hidden="1"/>
    </xf>
    <xf numFmtId="0" fontId="6" fillId="11" borderId="7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165" fontId="3" fillId="10" borderId="0" xfId="0" applyNumberFormat="1" applyFont="1" applyFill="1" applyBorder="1" applyAlignment="1" applyProtection="1">
      <alignment horizontal="center"/>
      <protection hidden="1"/>
    </xf>
    <xf numFmtId="165" fontId="3" fillId="12" borderId="0" xfId="0" applyNumberFormat="1" applyFont="1" applyFill="1" applyBorder="1" applyProtection="1">
      <protection hidden="1"/>
    </xf>
    <xf numFmtId="0" fontId="3" fillId="2" borderId="0" xfId="0" applyFont="1" applyFill="1" applyBorder="1"/>
    <xf numFmtId="0" fontId="3" fillId="12" borderId="0" xfId="0" applyFont="1" applyFill="1" applyBorder="1" applyAlignment="1"/>
    <xf numFmtId="165" fontId="3" fillId="12" borderId="0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6" borderId="9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3" fillId="6" borderId="90" xfId="0" applyFont="1" applyFill="1" applyBorder="1" applyAlignment="1">
      <alignment horizontal="center" vertical="center" wrapText="1"/>
    </xf>
    <xf numFmtId="0" fontId="0" fillId="6" borderId="9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left" wrapText="1"/>
    </xf>
    <xf numFmtId="0" fontId="3" fillId="12" borderId="0" xfId="0" applyFont="1" applyFill="1" applyBorder="1" applyAlignment="1" applyProtection="1">
      <alignment horizontal="center"/>
      <protection hidden="1"/>
    </xf>
    <xf numFmtId="0" fontId="11" fillId="2" borderId="6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6" xfId="0" applyFont="1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1" fillId="6" borderId="39" xfId="0" applyFont="1" applyFill="1" applyBorder="1" applyAlignment="1">
      <alignment horizontal="center" vertical="center" wrapText="1"/>
    </xf>
    <xf numFmtId="0" fontId="1" fillId="6" borderId="7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7" fillId="6" borderId="81" xfId="0" applyFont="1" applyFill="1" applyBorder="1" applyAlignment="1">
      <alignment horizontal="center" vertical="center" wrapText="1"/>
    </xf>
    <xf numFmtId="0" fontId="0" fillId="6" borderId="82" xfId="0" applyFont="1" applyFill="1" applyBorder="1" applyAlignment="1">
      <alignment horizontal="center" vertical="center"/>
    </xf>
    <xf numFmtId="0" fontId="0" fillId="6" borderId="85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3" fillId="6" borderId="81" xfId="0" applyFont="1" applyFill="1" applyBorder="1" applyAlignment="1">
      <alignment horizontal="center" vertical="center" wrapText="1"/>
    </xf>
    <xf numFmtId="0" fontId="0" fillId="6" borderId="91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6" borderId="8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 applyProtection="1">
      <alignment horizontal="center"/>
      <protection hidden="1"/>
    </xf>
  </cellXfs>
  <cellStyles count="3">
    <cellStyle name="Monétaire" xfId="1" builtinId="4"/>
    <cellStyle name="Normal" xfId="0" builtinId="0"/>
    <cellStyle name="Pourcentage" xfId="2" builtinId="5"/>
  </cellStyles>
  <dxfs count="53"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DBFBF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13</xdr:col>
      <xdr:colOff>304200</xdr:colOff>
      <xdr:row>5</xdr:row>
      <xdr:rowOff>128880</xdr:rowOff>
    </xdr:to>
    <xdr:sp macro="" textlink="">
      <xdr:nvSpPr>
        <xdr:cNvPr id="3" name="AutoShape 2"/>
        <xdr:cNvSpPr/>
      </xdr:nvSpPr>
      <xdr:spPr>
        <a:xfrm>
          <a:off x="14210640" y="700920"/>
          <a:ext cx="304200" cy="304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779400</xdr:colOff>
      <xdr:row>0</xdr:row>
      <xdr:rowOff>0</xdr:rowOff>
    </xdr:from>
    <xdr:to>
      <xdr:col>13</xdr:col>
      <xdr:colOff>1002960</xdr:colOff>
      <xdr:row>10</xdr:row>
      <xdr:rowOff>34920</xdr:rowOff>
    </xdr:to>
    <xdr:pic>
      <xdr:nvPicPr>
        <xdr:cNvPr id="4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772440" y="0"/>
          <a:ext cx="2441160" cy="1802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7470</xdr:colOff>
      <xdr:row>0</xdr:row>
      <xdr:rowOff>0</xdr:rowOff>
    </xdr:from>
    <xdr:to>
      <xdr:col>2</xdr:col>
      <xdr:colOff>85762</xdr:colOff>
      <xdr:row>6</xdr:row>
      <xdr:rowOff>141157</xdr:rowOff>
    </xdr:to>
    <xdr:pic>
      <xdr:nvPicPr>
        <xdr:cNvPr id="5" name="Imag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" y="0"/>
          <a:ext cx="1579880" cy="1261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441000</xdr:colOff>
      <xdr:row>0</xdr:row>
      <xdr:rowOff>0</xdr:rowOff>
    </xdr:from>
    <xdr:to>
      <xdr:col>13</xdr:col>
      <xdr:colOff>538200</xdr:colOff>
      <xdr:row>9</xdr:row>
      <xdr:rowOff>102240</xdr:rowOff>
    </xdr:to>
    <xdr:pic>
      <xdr:nvPicPr>
        <xdr:cNvPr id="4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37960" y="0"/>
          <a:ext cx="2294640" cy="1694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242645</xdr:colOff>
      <xdr:row>6</xdr:row>
      <xdr:rowOff>141157</xdr:rowOff>
    </xdr:to>
    <xdr:pic>
      <xdr:nvPicPr>
        <xdr:cNvPr id="5" name="Imag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9880" cy="1261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tabSelected="1" zoomScale="52" zoomScaleNormal="85" workbookViewId="0">
      <selection activeCell="I19" sqref="I19"/>
    </sheetView>
  </sheetViews>
  <sheetFormatPr baseColWidth="10" defaultColWidth="10.7265625" defaultRowHeight="14.5" x14ac:dyDescent="0.35"/>
  <cols>
    <col min="1" max="1" width="3.453125" customWidth="1"/>
    <col min="2" max="2" width="18.08984375" customWidth="1"/>
    <col min="3" max="7" width="15.7265625" customWidth="1"/>
    <col min="8" max="8" width="17.36328125" customWidth="1"/>
    <col min="9" max="9" width="15.7265625" customWidth="1"/>
    <col min="10" max="10" width="19.08984375" customWidth="1"/>
    <col min="11" max="11" width="17.54296875" customWidth="1"/>
    <col min="12" max="22" width="15.7265625" customWidth="1"/>
    <col min="23" max="23" width="17.08984375" style="1" customWidth="1"/>
    <col min="24" max="24" width="20" style="1" customWidth="1"/>
    <col min="25" max="40" width="11.453125" style="1" customWidth="1"/>
  </cols>
  <sheetData>
    <row r="1" spans="1:2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>
        <f t="shared" ref="O1:O13" si="0">K36+L36</f>
        <v>2</v>
      </c>
      <c r="P1" s="1"/>
      <c r="Q1" s="1"/>
      <c r="R1" s="1"/>
      <c r="S1" s="1"/>
      <c r="T1" s="1"/>
      <c r="U1" s="1"/>
      <c r="V1" s="1"/>
    </row>
    <row r="2" spans="1:22" x14ac:dyDescent="0.35">
      <c r="A2" s="1"/>
      <c r="B2" s="1"/>
      <c r="C2" s="1"/>
      <c r="D2" s="1"/>
      <c r="E2" s="1"/>
      <c r="F2" s="1"/>
      <c r="G2" s="1"/>
      <c r="H2" s="1"/>
      <c r="I2" s="3" t="s">
        <v>0</v>
      </c>
      <c r="J2" s="1"/>
      <c r="K2" s="1"/>
      <c r="L2" s="1"/>
      <c r="M2" s="2">
        <v>0.5</v>
      </c>
      <c r="N2" s="2"/>
      <c r="O2" s="2">
        <f t="shared" si="0"/>
        <v>0</v>
      </c>
      <c r="P2" s="1"/>
      <c r="Q2" s="1"/>
      <c r="R2" s="1"/>
      <c r="S2" s="1"/>
      <c r="T2" s="1"/>
      <c r="U2" s="1"/>
      <c r="V2" s="1"/>
    </row>
    <row r="3" spans="1:22" x14ac:dyDescent="0.35">
      <c r="A3" s="1"/>
      <c r="B3" s="1"/>
      <c r="C3" s="1"/>
      <c r="D3" s="1"/>
      <c r="E3" s="1"/>
      <c r="F3" s="1"/>
      <c r="G3" s="1"/>
      <c r="H3" s="1"/>
      <c r="I3" s="3" t="s">
        <v>1</v>
      </c>
      <c r="J3" s="1"/>
      <c r="K3" s="1"/>
      <c r="L3" s="1"/>
      <c r="M3" s="2">
        <v>1</v>
      </c>
      <c r="N3" s="2">
        <v>1</v>
      </c>
      <c r="O3" s="2">
        <f t="shared" si="0"/>
        <v>0</v>
      </c>
      <c r="P3" s="1"/>
      <c r="Q3" s="1"/>
      <c r="R3" s="1"/>
      <c r="S3" s="1"/>
      <c r="T3" s="1"/>
      <c r="U3" s="1"/>
      <c r="V3" s="1"/>
    </row>
    <row r="4" spans="1:22" x14ac:dyDescent="0.35">
      <c r="A4" s="1"/>
      <c r="B4" s="1"/>
      <c r="C4" s="1"/>
      <c r="D4" s="1"/>
      <c r="E4" s="1"/>
      <c r="F4" s="1"/>
      <c r="G4" s="1"/>
      <c r="H4" s="1"/>
      <c r="I4" s="4" t="s">
        <v>2</v>
      </c>
      <c r="J4" s="1"/>
      <c r="K4" s="1"/>
      <c r="L4" s="1"/>
      <c r="M4" s="2">
        <v>1.5</v>
      </c>
      <c r="N4" s="2">
        <v>2</v>
      </c>
      <c r="O4" s="2">
        <f t="shared" si="0"/>
        <v>0</v>
      </c>
      <c r="P4" s="1"/>
      <c r="Q4" s="1"/>
      <c r="R4" s="1"/>
      <c r="S4" s="1"/>
      <c r="T4" s="1"/>
      <c r="U4" s="1"/>
      <c r="V4" s="1"/>
    </row>
    <row r="5" spans="1:22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3</v>
      </c>
      <c r="O5" s="2">
        <f t="shared" si="0"/>
        <v>0</v>
      </c>
      <c r="P5" s="1"/>
      <c r="Q5" s="1"/>
      <c r="R5" s="1"/>
      <c r="S5" s="1"/>
      <c r="T5" s="1"/>
      <c r="U5" s="1"/>
      <c r="V5" s="1"/>
    </row>
    <row r="6" spans="1:22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4</v>
      </c>
      <c r="O6" s="2">
        <f t="shared" si="0"/>
        <v>0</v>
      </c>
      <c r="P6" s="1"/>
      <c r="Q6" s="1"/>
      <c r="R6" s="1"/>
      <c r="S6" s="1"/>
      <c r="T6" s="1"/>
      <c r="U6" s="1"/>
      <c r="V6" s="1"/>
    </row>
    <row r="7" spans="1:22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>
        <f t="shared" si="0"/>
        <v>0</v>
      </c>
      <c r="P7" s="1"/>
      <c r="Q7" s="1"/>
      <c r="R7" s="1"/>
      <c r="S7" s="1"/>
      <c r="T7" s="1"/>
      <c r="U7" s="1"/>
      <c r="V7" s="1"/>
    </row>
    <row r="8" spans="1:22" ht="15.5" x14ac:dyDescent="0.35">
      <c r="A8" s="1"/>
      <c r="B8" s="6" t="s">
        <v>5</v>
      </c>
      <c r="C8" s="234"/>
      <c r="D8" s="234"/>
      <c r="E8" s="234"/>
      <c r="F8" s="234"/>
      <c r="G8" s="1"/>
      <c r="H8" s="1"/>
      <c r="I8" s="1"/>
      <c r="J8" s="1"/>
      <c r="K8" s="1"/>
      <c r="L8" s="1"/>
      <c r="M8" s="1"/>
      <c r="N8" s="1"/>
      <c r="O8" s="2">
        <f t="shared" si="0"/>
        <v>0</v>
      </c>
      <c r="P8" s="1"/>
      <c r="Q8" s="1"/>
      <c r="R8" s="1"/>
      <c r="S8" s="1"/>
      <c r="T8" s="1"/>
      <c r="U8" s="1"/>
      <c r="V8" s="1"/>
    </row>
    <row r="9" spans="1:22" x14ac:dyDescent="0.35">
      <c r="A9" s="1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si="0"/>
        <v>0</v>
      </c>
      <c r="P9" s="1"/>
      <c r="Q9" s="1"/>
      <c r="R9" s="1"/>
      <c r="S9" s="1"/>
      <c r="T9" s="1"/>
      <c r="U9" s="1"/>
      <c r="V9" s="1"/>
    </row>
    <row r="10" spans="1:22" x14ac:dyDescent="0.35">
      <c r="A10" s="1"/>
      <c r="B10" s="9"/>
      <c r="C10" s="1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0"/>
        <v>0</v>
      </c>
      <c r="P10" s="1"/>
      <c r="Q10" s="1"/>
      <c r="R10" s="1"/>
      <c r="S10" s="1"/>
      <c r="T10" s="1"/>
      <c r="U10" s="1"/>
      <c r="V10" s="1"/>
    </row>
    <row r="11" spans="1:22" x14ac:dyDescent="0.35">
      <c r="A11" s="1"/>
      <c r="B11" s="10"/>
      <c r="C11" s="1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0"/>
        <v>0</v>
      </c>
      <c r="P11" s="1"/>
      <c r="Q11" s="1"/>
      <c r="R11" s="1"/>
      <c r="S11" s="1"/>
      <c r="T11" s="1"/>
      <c r="U11" s="1"/>
      <c r="V11" s="1"/>
    </row>
    <row r="12" spans="1:22" x14ac:dyDescent="0.35">
      <c r="A12" s="1"/>
      <c r="B12" s="12" t="s">
        <v>8</v>
      </c>
      <c r="C12" s="8" t="s">
        <v>9</v>
      </c>
      <c r="D12" s="1"/>
      <c r="E12" s="1"/>
      <c r="F12" s="13"/>
      <c r="G12" s="1" t="s">
        <v>10</v>
      </c>
      <c r="H12" s="1"/>
      <c r="I12" s="1"/>
      <c r="J12" s="1"/>
      <c r="K12" s="1"/>
      <c r="L12" s="1"/>
      <c r="M12" s="1"/>
      <c r="N12" s="1"/>
      <c r="O12" s="2">
        <f t="shared" si="0"/>
        <v>0</v>
      </c>
      <c r="P12" s="1"/>
      <c r="Q12" s="1"/>
      <c r="R12" s="1"/>
      <c r="S12" s="1"/>
      <c r="T12" s="1"/>
      <c r="U12" s="1"/>
      <c r="V12" s="1"/>
    </row>
    <row r="13" spans="1:22" x14ac:dyDescent="0.35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0"/>
        <v>0</v>
      </c>
      <c r="P13" s="1"/>
      <c r="Q13" s="1"/>
      <c r="R13" s="1"/>
      <c r="S13" s="1"/>
      <c r="T13" s="1"/>
      <c r="U13" s="1"/>
      <c r="V13" s="1"/>
    </row>
    <row r="14" spans="1:22" ht="18.5" x14ac:dyDescent="0.45">
      <c r="A14" s="1" t="s">
        <v>11</v>
      </c>
      <c r="B14" s="15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41.25" customHeight="1" x14ac:dyDescent="0.35">
      <c r="A16" s="16"/>
      <c r="B16" s="235" t="s">
        <v>13</v>
      </c>
      <c r="C16" s="235"/>
      <c r="D16" s="236" t="s">
        <v>14</v>
      </c>
      <c r="E16" s="236"/>
      <c r="F16" s="236"/>
      <c r="G16" s="236"/>
      <c r="H16" s="236"/>
      <c r="I16" s="236"/>
      <c r="J16" s="236"/>
      <c r="K16" s="17" t="s">
        <v>15</v>
      </c>
      <c r="L16" s="16"/>
      <c r="M16" s="16"/>
      <c r="N16" s="16"/>
      <c r="O16" s="16"/>
      <c r="P16" s="16"/>
      <c r="Q16" s="16">
        <f>SUM(J36:L36)</f>
        <v>62</v>
      </c>
      <c r="R16" s="16"/>
      <c r="S16" s="16"/>
      <c r="T16" s="16"/>
      <c r="U16" s="16"/>
      <c r="V16" s="16"/>
    </row>
    <row r="17" spans="1:40" ht="45" customHeight="1" x14ac:dyDescent="0.35">
      <c r="A17" s="18"/>
      <c r="B17" s="19" t="s">
        <v>16</v>
      </c>
      <c r="C17" s="20" t="s">
        <v>17</v>
      </c>
      <c r="D17" s="21" t="s">
        <v>18</v>
      </c>
      <c r="E17" s="20" t="s">
        <v>19</v>
      </c>
      <c r="F17" s="20" t="s">
        <v>20</v>
      </c>
      <c r="G17" s="22" t="s">
        <v>21</v>
      </c>
      <c r="H17" s="20" t="s">
        <v>22</v>
      </c>
      <c r="I17" s="19" t="s">
        <v>23</v>
      </c>
      <c r="J17" s="19" t="s">
        <v>24</v>
      </c>
      <c r="K17" s="21" t="s">
        <v>25</v>
      </c>
      <c r="L17" s="18"/>
      <c r="M17" s="18"/>
      <c r="N17" s="18"/>
      <c r="O17" s="23"/>
      <c r="P17" s="18"/>
      <c r="Q17" s="18"/>
      <c r="R17" s="18"/>
      <c r="S17" s="18"/>
      <c r="T17" s="18"/>
      <c r="U17" s="18"/>
      <c r="V17" s="18"/>
    </row>
    <row r="18" spans="1:40" s="35" customFormat="1" ht="15.5" x14ac:dyDescent="0.35">
      <c r="A18" s="24"/>
      <c r="B18" s="25" t="s">
        <v>26</v>
      </c>
      <c r="C18" s="26" t="s">
        <v>26</v>
      </c>
      <c r="D18" s="27">
        <v>100</v>
      </c>
      <c r="E18" s="25">
        <v>1</v>
      </c>
      <c r="F18" s="28">
        <f t="shared" ref="F18:F27" si="1">IF(C18="","",IF(OR(E18=1),D18,2*D18))</f>
        <v>100</v>
      </c>
      <c r="G18" s="29">
        <v>1.5</v>
      </c>
      <c r="H18" s="30">
        <f t="shared" ref="H18:H27" si="2">IF(G18="","",F18*1/G18)</f>
        <v>66.666666666666671</v>
      </c>
      <c r="I18" s="31">
        <v>25</v>
      </c>
      <c r="J18" s="32">
        <f t="shared" ref="J18:J27" si="3">IF(F18="","",H18-I18)</f>
        <v>41.666666666666671</v>
      </c>
      <c r="K18" s="33">
        <f t="shared" ref="K18:K27" si="4">IF(C18="","",IF(OR(E18=1),D18,2*D18)*0.001)</f>
        <v>0.1</v>
      </c>
      <c r="L18" s="6"/>
      <c r="M18" s="6"/>
      <c r="N18" s="6"/>
      <c r="O18" s="34">
        <f t="shared" ref="O18:O27" si="5">SUM(J36:L36)</f>
        <v>62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35" customFormat="1" ht="15.5" x14ac:dyDescent="0.35">
      <c r="A19" s="24"/>
      <c r="B19" s="36"/>
      <c r="C19" s="37"/>
      <c r="D19" s="38"/>
      <c r="E19" s="36"/>
      <c r="F19" s="28" t="str">
        <f t="shared" si="1"/>
        <v/>
      </c>
      <c r="G19" s="39"/>
      <c r="H19" s="40" t="str">
        <f t="shared" si="2"/>
        <v/>
      </c>
      <c r="I19" s="41"/>
      <c r="J19" s="32" t="str">
        <f t="shared" si="3"/>
        <v/>
      </c>
      <c r="K19" s="33" t="str">
        <f t="shared" si="4"/>
        <v/>
      </c>
      <c r="L19" s="6"/>
      <c r="M19" s="6"/>
      <c r="N19" s="6"/>
      <c r="O19" s="34">
        <f t="shared" si="5"/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35" customFormat="1" ht="15.5" x14ac:dyDescent="0.35">
      <c r="A20" s="24"/>
      <c r="B20" s="36"/>
      <c r="C20" s="37"/>
      <c r="D20" s="38"/>
      <c r="E20" s="36"/>
      <c r="F20" s="28" t="str">
        <f t="shared" si="1"/>
        <v/>
      </c>
      <c r="G20" s="39"/>
      <c r="H20" s="42" t="str">
        <f t="shared" si="2"/>
        <v/>
      </c>
      <c r="I20" s="41"/>
      <c r="J20" s="32" t="str">
        <f t="shared" si="3"/>
        <v/>
      </c>
      <c r="K20" s="33" t="str">
        <f t="shared" si="4"/>
        <v/>
      </c>
      <c r="L20" s="6"/>
      <c r="M20" s="6"/>
      <c r="N20" s="6"/>
      <c r="O20" s="34">
        <f t="shared" si="5"/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35" customFormat="1" ht="15.5" x14ac:dyDescent="0.35">
      <c r="A21" s="24"/>
      <c r="B21" s="36"/>
      <c r="C21" s="37"/>
      <c r="D21" s="43"/>
      <c r="E21" s="36"/>
      <c r="F21" s="28" t="str">
        <f t="shared" si="1"/>
        <v/>
      </c>
      <c r="G21" s="39"/>
      <c r="H21" s="44" t="str">
        <f t="shared" si="2"/>
        <v/>
      </c>
      <c r="I21" s="41"/>
      <c r="J21" s="32" t="str">
        <f t="shared" si="3"/>
        <v/>
      </c>
      <c r="K21" s="33" t="str">
        <f t="shared" si="4"/>
        <v/>
      </c>
      <c r="L21" s="6"/>
      <c r="M21" s="6"/>
      <c r="N21" s="6"/>
      <c r="O21" s="34">
        <f t="shared" si="5"/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35" customFormat="1" ht="15.5" x14ac:dyDescent="0.35">
      <c r="A22" s="24"/>
      <c r="B22" s="36"/>
      <c r="C22" s="37"/>
      <c r="D22" s="45"/>
      <c r="E22" s="36"/>
      <c r="F22" s="28" t="str">
        <f t="shared" si="1"/>
        <v/>
      </c>
      <c r="G22" s="39"/>
      <c r="H22" s="42" t="str">
        <f t="shared" si="2"/>
        <v/>
      </c>
      <c r="I22" s="41"/>
      <c r="J22" s="32" t="str">
        <f t="shared" si="3"/>
        <v/>
      </c>
      <c r="K22" s="33" t="str">
        <f t="shared" si="4"/>
        <v/>
      </c>
      <c r="L22" s="6"/>
      <c r="M22" s="6"/>
      <c r="N22" s="6"/>
      <c r="O22" s="34">
        <f t="shared" si="5"/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35" customFormat="1" ht="15.5" x14ac:dyDescent="0.35">
      <c r="A23" s="24"/>
      <c r="B23" s="36"/>
      <c r="C23" s="37"/>
      <c r="D23" s="46"/>
      <c r="E23" s="36"/>
      <c r="F23" s="28" t="str">
        <f t="shared" si="1"/>
        <v/>
      </c>
      <c r="G23" s="39"/>
      <c r="H23" s="47" t="str">
        <f t="shared" si="2"/>
        <v/>
      </c>
      <c r="I23" s="41"/>
      <c r="J23" s="32" t="str">
        <f t="shared" si="3"/>
        <v/>
      </c>
      <c r="K23" s="33" t="str">
        <f t="shared" si="4"/>
        <v/>
      </c>
      <c r="L23" s="6"/>
      <c r="M23" s="6"/>
      <c r="N23" s="6"/>
      <c r="O23" s="34">
        <f t="shared" si="5"/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35" customFormat="1" ht="15.5" x14ac:dyDescent="0.35">
      <c r="A24" s="24"/>
      <c r="B24" s="36"/>
      <c r="C24" s="37"/>
      <c r="D24" s="48"/>
      <c r="E24" s="36"/>
      <c r="F24" s="28" t="str">
        <f t="shared" si="1"/>
        <v/>
      </c>
      <c r="G24" s="39"/>
      <c r="H24" s="44" t="str">
        <f t="shared" si="2"/>
        <v/>
      </c>
      <c r="I24" s="41"/>
      <c r="J24" s="32" t="str">
        <f t="shared" si="3"/>
        <v/>
      </c>
      <c r="K24" s="33" t="str">
        <f t="shared" si="4"/>
        <v/>
      </c>
      <c r="L24" s="6"/>
      <c r="M24" s="6"/>
      <c r="N24" s="6"/>
      <c r="O24" s="34">
        <f t="shared" si="5"/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35" customFormat="1" ht="15.5" x14ac:dyDescent="0.35">
      <c r="A25" s="24"/>
      <c r="B25" s="36"/>
      <c r="C25" s="37"/>
      <c r="D25" s="46"/>
      <c r="E25" s="36"/>
      <c r="F25" s="28" t="str">
        <f t="shared" si="1"/>
        <v/>
      </c>
      <c r="G25" s="39"/>
      <c r="H25" s="42" t="str">
        <f t="shared" si="2"/>
        <v/>
      </c>
      <c r="I25" s="41"/>
      <c r="J25" s="32" t="str">
        <f t="shared" si="3"/>
        <v/>
      </c>
      <c r="K25" s="33" t="str">
        <f t="shared" si="4"/>
        <v/>
      </c>
      <c r="L25" s="6"/>
      <c r="M25" s="6"/>
      <c r="N25" s="6"/>
      <c r="O25" s="34">
        <f t="shared" si="5"/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35" customFormat="1" ht="15.5" x14ac:dyDescent="0.35">
      <c r="A26" s="24"/>
      <c r="B26" s="36"/>
      <c r="C26" s="37"/>
      <c r="D26" s="48"/>
      <c r="E26" s="36"/>
      <c r="F26" s="28" t="str">
        <f t="shared" si="1"/>
        <v/>
      </c>
      <c r="G26" s="39"/>
      <c r="H26" s="47" t="str">
        <f t="shared" si="2"/>
        <v/>
      </c>
      <c r="I26" s="41"/>
      <c r="J26" s="32" t="str">
        <f t="shared" si="3"/>
        <v/>
      </c>
      <c r="K26" s="33" t="str">
        <f t="shared" si="4"/>
        <v/>
      </c>
      <c r="L26" s="6"/>
      <c r="M26" s="6"/>
      <c r="N26" s="6"/>
      <c r="O26" s="34">
        <f t="shared" si="5"/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35" customFormat="1" ht="15.5" x14ac:dyDescent="0.35">
      <c r="A27" s="24"/>
      <c r="B27" s="36"/>
      <c r="C27" s="37"/>
      <c r="D27" s="49"/>
      <c r="E27" s="36"/>
      <c r="F27" s="28" t="str">
        <f t="shared" si="1"/>
        <v/>
      </c>
      <c r="G27" s="39"/>
      <c r="H27" s="40" t="str">
        <f t="shared" si="2"/>
        <v/>
      </c>
      <c r="I27" s="50"/>
      <c r="J27" s="32" t="str">
        <f t="shared" si="3"/>
        <v/>
      </c>
      <c r="K27" s="33" t="str">
        <f t="shared" si="4"/>
        <v/>
      </c>
      <c r="L27" s="6"/>
      <c r="M27" s="6"/>
      <c r="N27" s="6"/>
      <c r="O27" s="34">
        <f t="shared" si="5"/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35" customFormat="1" ht="15.5" x14ac:dyDescent="0.35">
      <c r="A28" s="6"/>
      <c r="B28" s="51" t="s">
        <v>27</v>
      </c>
      <c r="C28" s="52"/>
      <c r="D28" s="53">
        <f>SUM(D18:D27)</f>
        <v>100</v>
      </c>
      <c r="E28" s="53"/>
      <c r="F28" s="53">
        <f>SUM(F18:F27)</f>
        <v>100</v>
      </c>
      <c r="G28" s="53"/>
      <c r="H28" s="53">
        <f>SUM(H18:H27)</f>
        <v>66.666666666666671</v>
      </c>
      <c r="I28" s="53">
        <f>SUM(I18:I27)</f>
        <v>25</v>
      </c>
      <c r="J28" s="53">
        <f>SUM(J18:J27)</f>
        <v>41.666666666666671</v>
      </c>
      <c r="K28" s="53">
        <f>SUM(K18:K27)</f>
        <v>0.1</v>
      </c>
      <c r="L28" s="6"/>
      <c r="M28" s="6"/>
      <c r="N28" s="6"/>
      <c r="O28" s="3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5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40" ht="18.5" x14ac:dyDescent="0.45">
      <c r="A30" s="1"/>
      <c r="B30" s="15" t="s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4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40" x14ac:dyDescent="0.35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40" s="35" customFormat="1" ht="15.75" customHeight="1" x14ac:dyDescent="0.35">
      <c r="A33" s="6"/>
      <c r="B33" s="55"/>
      <c r="C33" s="55"/>
      <c r="D33" s="237" t="s">
        <v>29</v>
      </c>
      <c r="E33" s="237"/>
      <c r="F33" s="237"/>
      <c r="G33" s="237"/>
      <c r="H33" s="238" t="s">
        <v>30</v>
      </c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9" t="s">
        <v>31</v>
      </c>
      <c r="X33" s="239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s="35" customFormat="1" ht="63" customHeight="1" x14ac:dyDescent="0.35">
      <c r="A34" s="56"/>
      <c r="B34" s="240" t="s">
        <v>13</v>
      </c>
      <c r="C34" s="240"/>
      <c r="D34" s="57" t="s">
        <v>32</v>
      </c>
      <c r="E34" s="58" t="s">
        <v>33</v>
      </c>
      <c r="F34" s="57" t="s">
        <v>34</v>
      </c>
      <c r="G34" s="57" t="s">
        <v>35</v>
      </c>
      <c r="H34" s="59" t="s">
        <v>36</v>
      </c>
      <c r="I34" s="60" t="s">
        <v>37</v>
      </c>
      <c r="J34" s="241" t="s">
        <v>38</v>
      </c>
      <c r="K34" s="241"/>
      <c r="L34" s="241"/>
      <c r="M34" s="59" t="s">
        <v>39</v>
      </c>
      <c r="N34" s="59" t="s">
        <v>40</v>
      </c>
      <c r="O34" s="61" t="s">
        <v>41</v>
      </c>
      <c r="P34" s="241" t="s">
        <v>42</v>
      </c>
      <c r="Q34" s="241"/>
      <c r="R34" s="61" t="s">
        <v>43</v>
      </c>
      <c r="S34" s="242" t="s">
        <v>44</v>
      </c>
      <c r="T34" s="242"/>
      <c r="U34" s="61" t="s">
        <v>45</v>
      </c>
      <c r="V34" s="59" t="s">
        <v>46</v>
      </c>
      <c r="W34" s="59" t="s">
        <v>47</v>
      </c>
      <c r="X34" s="59" t="s">
        <v>48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s="35" customFormat="1" ht="43.5" x14ac:dyDescent="0.35">
      <c r="A35" s="62"/>
      <c r="B35" s="63" t="s">
        <v>16</v>
      </c>
      <c r="C35" s="64" t="s">
        <v>17</v>
      </c>
      <c r="D35" s="65" t="s">
        <v>49</v>
      </c>
      <c r="E35" s="66" t="s">
        <v>49</v>
      </c>
      <c r="F35" s="67" t="s">
        <v>49</v>
      </c>
      <c r="G35" s="68" t="s">
        <v>49</v>
      </c>
      <c r="H35" s="64" t="s">
        <v>50</v>
      </c>
      <c r="I35" s="65" t="s">
        <v>49</v>
      </c>
      <c r="J35" s="69" t="s">
        <v>228</v>
      </c>
      <c r="K35" s="69" t="s">
        <v>51</v>
      </c>
      <c r="L35" s="69" t="s">
        <v>52</v>
      </c>
      <c r="M35" s="66" t="s">
        <v>49</v>
      </c>
      <c r="N35" s="66" t="s">
        <v>49</v>
      </c>
      <c r="O35" s="66" t="s">
        <v>49</v>
      </c>
      <c r="P35" s="65" t="s">
        <v>49</v>
      </c>
      <c r="Q35" s="69" t="s">
        <v>53</v>
      </c>
      <c r="R35" s="65" t="s">
        <v>49</v>
      </c>
      <c r="S35" s="65" t="s">
        <v>49</v>
      </c>
      <c r="T35" s="69" t="s">
        <v>53</v>
      </c>
      <c r="U35" s="70" t="s">
        <v>49</v>
      </c>
      <c r="V35" s="70" t="s">
        <v>49</v>
      </c>
      <c r="W35" s="71" t="s">
        <v>49</v>
      </c>
      <c r="X35" s="65" t="s">
        <v>49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s="35" customFormat="1" ht="15.5" x14ac:dyDescent="0.35">
      <c r="A36" s="24"/>
      <c r="B36" s="72" t="str">
        <f t="shared" ref="B36:C45" si="6">IF(B18="","",B18)</f>
        <v>a</v>
      </c>
      <c r="C36" s="73" t="str">
        <f t="shared" si="6"/>
        <v>a</v>
      </c>
      <c r="D36" s="74" t="s">
        <v>4</v>
      </c>
      <c r="E36" s="75" t="s">
        <v>3</v>
      </c>
      <c r="F36" s="76" t="s">
        <v>3</v>
      </c>
      <c r="G36" s="77" t="s">
        <v>3</v>
      </c>
      <c r="H36" s="72" t="str">
        <f t="shared" ref="H36:H45" si="7">IF(C36="","","Oui")</f>
        <v>Oui</v>
      </c>
      <c r="I36" s="78" t="s">
        <v>3</v>
      </c>
      <c r="J36" s="79">
        <v>60</v>
      </c>
      <c r="K36" s="79">
        <v>1</v>
      </c>
      <c r="L36" s="79">
        <v>1</v>
      </c>
      <c r="M36" s="76" t="s">
        <v>3</v>
      </c>
      <c r="N36" s="75" t="s">
        <v>3</v>
      </c>
      <c r="O36" s="75" t="s">
        <v>3</v>
      </c>
      <c r="P36" s="78" t="s">
        <v>3</v>
      </c>
      <c r="Q36" s="80">
        <v>19</v>
      </c>
      <c r="R36" s="76" t="s">
        <v>3</v>
      </c>
      <c r="S36" s="76" t="s">
        <v>3</v>
      </c>
      <c r="T36" s="80">
        <v>20</v>
      </c>
      <c r="U36" s="76" t="s">
        <v>3</v>
      </c>
      <c r="V36" s="81" t="s">
        <v>3</v>
      </c>
      <c r="W36" s="78" t="s">
        <v>3</v>
      </c>
      <c r="X36" s="77" t="s">
        <v>3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s="35" customFormat="1" ht="15.5" x14ac:dyDescent="0.35">
      <c r="A37" s="24"/>
      <c r="B37" s="72" t="str">
        <f t="shared" si="6"/>
        <v/>
      </c>
      <c r="C37" s="73" t="str">
        <f t="shared" si="6"/>
        <v/>
      </c>
      <c r="D37" s="74"/>
      <c r="E37" s="75"/>
      <c r="F37" s="76"/>
      <c r="G37" s="77"/>
      <c r="H37" s="72" t="str">
        <f t="shared" si="7"/>
        <v/>
      </c>
      <c r="I37" s="78"/>
      <c r="J37" s="79"/>
      <c r="K37" s="79"/>
      <c r="L37" s="79"/>
      <c r="M37" s="76"/>
      <c r="N37" s="75"/>
      <c r="O37" s="78"/>
      <c r="P37" s="82"/>
      <c r="Q37" s="83"/>
      <c r="R37" s="84"/>
      <c r="S37" s="76"/>
      <c r="T37" s="85"/>
      <c r="U37" s="76"/>
      <c r="V37" s="81"/>
      <c r="W37" s="75"/>
      <c r="X37" s="7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s="35" customFormat="1" ht="15.5" x14ac:dyDescent="0.35">
      <c r="A38" s="24"/>
      <c r="B38" s="72" t="str">
        <f t="shared" si="6"/>
        <v/>
      </c>
      <c r="C38" s="73" t="str">
        <f t="shared" si="6"/>
        <v/>
      </c>
      <c r="D38" s="74"/>
      <c r="E38" s="75"/>
      <c r="F38" s="76"/>
      <c r="G38" s="77"/>
      <c r="H38" s="72" t="str">
        <f t="shared" si="7"/>
        <v/>
      </c>
      <c r="I38" s="78"/>
      <c r="J38" s="79"/>
      <c r="K38" s="79"/>
      <c r="L38" s="79"/>
      <c r="M38" s="78"/>
      <c r="N38" s="75"/>
      <c r="O38" s="78"/>
      <c r="P38" s="82"/>
      <c r="Q38" s="83"/>
      <c r="R38" s="84"/>
      <c r="S38" s="76"/>
      <c r="T38" s="80"/>
      <c r="U38" s="76"/>
      <c r="V38" s="81"/>
      <c r="W38" s="75"/>
      <c r="X38" s="7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s="35" customFormat="1" ht="15.5" x14ac:dyDescent="0.35">
      <c r="A39" s="24"/>
      <c r="B39" s="72" t="str">
        <f t="shared" si="6"/>
        <v/>
      </c>
      <c r="C39" s="73" t="str">
        <f t="shared" si="6"/>
        <v/>
      </c>
      <c r="D39" s="74"/>
      <c r="E39" s="75"/>
      <c r="F39" s="76"/>
      <c r="G39" s="77"/>
      <c r="H39" s="72" t="str">
        <f t="shared" si="7"/>
        <v/>
      </c>
      <c r="I39" s="78"/>
      <c r="J39" s="79"/>
      <c r="K39" s="79"/>
      <c r="L39" s="79"/>
      <c r="M39" s="78"/>
      <c r="N39" s="75"/>
      <c r="O39" s="78"/>
      <c r="P39" s="82"/>
      <c r="Q39" s="85"/>
      <c r="R39" s="84"/>
      <c r="S39" s="76"/>
      <c r="T39" s="85"/>
      <c r="U39" s="76"/>
      <c r="V39" s="81"/>
      <c r="W39" s="75"/>
      <c r="X39" s="7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s="35" customFormat="1" ht="15.5" x14ac:dyDescent="0.35">
      <c r="A40" s="24"/>
      <c r="B40" s="72" t="str">
        <f t="shared" si="6"/>
        <v/>
      </c>
      <c r="C40" s="73" t="str">
        <f t="shared" si="6"/>
        <v/>
      </c>
      <c r="D40" s="74"/>
      <c r="E40" s="75"/>
      <c r="F40" s="76"/>
      <c r="G40" s="77"/>
      <c r="H40" s="72" t="str">
        <f t="shared" si="7"/>
        <v/>
      </c>
      <c r="I40" s="76"/>
      <c r="J40" s="86"/>
      <c r="K40" s="86"/>
      <c r="L40" s="86"/>
      <c r="M40" s="76"/>
      <c r="N40" s="75"/>
      <c r="O40" s="78"/>
      <c r="P40" s="82"/>
      <c r="Q40" s="87"/>
      <c r="R40" s="84"/>
      <c r="S40" s="76"/>
      <c r="T40" s="80"/>
      <c r="U40" s="76"/>
      <c r="V40" s="81"/>
      <c r="W40" s="75"/>
      <c r="X40" s="77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s="35" customFormat="1" ht="15.5" x14ac:dyDescent="0.35">
      <c r="A41" s="24"/>
      <c r="B41" s="72" t="str">
        <f t="shared" si="6"/>
        <v/>
      </c>
      <c r="C41" s="73" t="str">
        <f t="shared" si="6"/>
        <v/>
      </c>
      <c r="D41" s="88"/>
      <c r="E41" s="89"/>
      <c r="F41" s="76"/>
      <c r="G41" s="90"/>
      <c r="H41" s="72" t="str">
        <f t="shared" si="7"/>
        <v/>
      </c>
      <c r="I41" s="91"/>
      <c r="J41" s="92"/>
      <c r="K41" s="93"/>
      <c r="L41" s="94"/>
      <c r="M41" s="91"/>
      <c r="N41" s="91"/>
      <c r="O41" s="89"/>
      <c r="P41" s="95"/>
      <c r="Q41" s="85"/>
      <c r="R41" s="96"/>
      <c r="S41" s="91"/>
      <c r="T41" s="85"/>
      <c r="U41" s="91"/>
      <c r="V41" s="81"/>
      <c r="W41" s="89"/>
      <c r="X41" s="9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s="35" customFormat="1" ht="15.5" x14ac:dyDescent="0.35">
      <c r="A42" s="24"/>
      <c r="B42" s="72" t="str">
        <f t="shared" si="6"/>
        <v/>
      </c>
      <c r="C42" s="73" t="str">
        <f t="shared" si="6"/>
        <v/>
      </c>
      <c r="D42" s="88"/>
      <c r="E42" s="89"/>
      <c r="F42" s="91"/>
      <c r="G42" s="90"/>
      <c r="H42" s="72" t="str">
        <f t="shared" si="7"/>
        <v/>
      </c>
      <c r="I42" s="91"/>
      <c r="J42" s="86"/>
      <c r="K42" s="92"/>
      <c r="L42" s="79"/>
      <c r="M42" s="91"/>
      <c r="N42" s="91"/>
      <c r="O42" s="89"/>
      <c r="P42" s="95"/>
      <c r="Q42" s="85"/>
      <c r="R42" s="96"/>
      <c r="S42" s="91"/>
      <c r="T42" s="83"/>
      <c r="U42" s="91"/>
      <c r="V42" s="81"/>
      <c r="W42" s="89"/>
      <c r="X42" s="90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s="35" customFormat="1" ht="15.5" x14ac:dyDescent="0.35">
      <c r="A43" s="24"/>
      <c r="B43" s="72" t="str">
        <f t="shared" si="6"/>
        <v/>
      </c>
      <c r="C43" s="73" t="str">
        <f t="shared" si="6"/>
        <v/>
      </c>
      <c r="D43" s="88"/>
      <c r="E43" s="89"/>
      <c r="F43" s="91"/>
      <c r="G43" s="90"/>
      <c r="H43" s="72" t="str">
        <f t="shared" si="7"/>
        <v/>
      </c>
      <c r="I43" s="91"/>
      <c r="J43" s="93"/>
      <c r="K43" s="97"/>
      <c r="L43" s="98"/>
      <c r="M43" s="91"/>
      <c r="N43" s="91"/>
      <c r="O43" s="89"/>
      <c r="P43" s="99"/>
      <c r="Q43" s="100"/>
      <c r="R43" s="96"/>
      <c r="S43" s="91"/>
      <c r="T43" s="85"/>
      <c r="U43" s="91"/>
      <c r="V43" s="81"/>
      <c r="W43" s="89"/>
      <c r="X43" s="90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s="35" customFormat="1" ht="15.5" x14ac:dyDescent="0.35">
      <c r="A44" s="24"/>
      <c r="B44" s="72" t="str">
        <f t="shared" si="6"/>
        <v/>
      </c>
      <c r="C44" s="73" t="str">
        <f t="shared" si="6"/>
        <v/>
      </c>
      <c r="D44" s="88"/>
      <c r="E44" s="89"/>
      <c r="F44" s="91"/>
      <c r="G44" s="90"/>
      <c r="H44" s="72" t="str">
        <f t="shared" si="7"/>
        <v/>
      </c>
      <c r="I44" s="76"/>
      <c r="J44" s="92"/>
      <c r="K44" s="86"/>
      <c r="L44" s="86"/>
      <c r="M44" s="76"/>
      <c r="N44" s="76"/>
      <c r="O44" s="89"/>
      <c r="P44" s="96"/>
      <c r="Q44" s="100"/>
      <c r="R44" s="76"/>
      <c r="S44" s="76"/>
      <c r="T44" s="80"/>
      <c r="U44" s="76"/>
      <c r="V44" s="81"/>
      <c r="W44" s="89"/>
      <c r="X44" s="90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s="35" customFormat="1" ht="15.5" x14ac:dyDescent="0.35">
      <c r="A45" s="6"/>
      <c r="B45" s="101" t="str">
        <f t="shared" si="6"/>
        <v/>
      </c>
      <c r="C45" s="102" t="str">
        <f t="shared" si="6"/>
        <v/>
      </c>
      <c r="D45" s="103"/>
      <c r="E45" s="104"/>
      <c r="F45" s="105"/>
      <c r="G45" s="106"/>
      <c r="H45" s="72" t="str">
        <f t="shared" si="7"/>
        <v/>
      </c>
      <c r="I45" s="104"/>
      <c r="J45" s="107"/>
      <c r="K45" s="107"/>
      <c r="L45" s="107"/>
      <c r="M45" s="104"/>
      <c r="N45" s="105"/>
      <c r="O45" s="104"/>
      <c r="P45" s="104"/>
      <c r="Q45" s="80"/>
      <c r="R45" s="105"/>
      <c r="S45" s="104"/>
      <c r="T45" s="108"/>
      <c r="U45" s="104"/>
      <c r="V45" s="106"/>
      <c r="W45" s="104"/>
      <c r="X45" s="109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"/>
      <c r="P46" s="1"/>
      <c r="Q46" s="110"/>
      <c r="R46" s="1"/>
      <c r="S46" s="1"/>
      <c r="T46" s="110"/>
      <c r="U46" s="1"/>
      <c r="V46" s="1"/>
    </row>
    <row r="47" spans="1:40" ht="18.5" x14ac:dyDescent="0.45">
      <c r="A47" s="1"/>
      <c r="B47" s="15" t="s">
        <v>54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40" x14ac:dyDescent="0.35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40" s="35" customFormat="1" ht="15.75" customHeight="1" x14ac:dyDescent="0.35">
      <c r="A49" s="6"/>
      <c r="B49" s="6"/>
      <c r="C49" s="6"/>
      <c r="D49" s="243" t="s">
        <v>29</v>
      </c>
      <c r="E49" s="243"/>
      <c r="F49" s="243"/>
      <c r="G49" s="243"/>
      <c r="H49" s="244" t="s">
        <v>30</v>
      </c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5"/>
      <c r="T49" s="24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s="35" customFormat="1" ht="32.25" customHeight="1" x14ac:dyDescent="0.35">
      <c r="A50" s="62"/>
      <c r="B50" s="246" t="s">
        <v>13</v>
      </c>
      <c r="C50" s="246"/>
      <c r="D50" s="247" t="s">
        <v>32</v>
      </c>
      <c r="E50" s="248" t="s">
        <v>55</v>
      </c>
      <c r="F50" s="248" t="s">
        <v>34</v>
      </c>
      <c r="G50" s="248" t="s">
        <v>35</v>
      </c>
      <c r="H50" s="247" t="s">
        <v>36</v>
      </c>
      <c r="I50" s="248" t="s">
        <v>56</v>
      </c>
      <c r="J50" s="248" t="s">
        <v>39</v>
      </c>
      <c r="K50" s="247" t="s">
        <v>40</v>
      </c>
      <c r="L50" s="247" t="s">
        <v>41</v>
      </c>
      <c r="M50" s="247" t="s">
        <v>57</v>
      </c>
      <c r="N50" s="247" t="s">
        <v>43</v>
      </c>
      <c r="O50" s="247" t="s">
        <v>58</v>
      </c>
      <c r="P50" s="247" t="s">
        <v>45</v>
      </c>
      <c r="Q50" s="247" t="s">
        <v>46</v>
      </c>
      <c r="R50" s="247" t="s">
        <v>37</v>
      </c>
      <c r="S50" s="249"/>
      <c r="T50" s="249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s="35" customFormat="1" ht="31.5" customHeight="1" x14ac:dyDescent="0.35">
      <c r="A51" s="111"/>
      <c r="B51" s="64" t="s">
        <v>16</v>
      </c>
      <c r="C51" s="64" t="s">
        <v>17</v>
      </c>
      <c r="D51" s="247"/>
      <c r="E51" s="248"/>
      <c r="F51" s="248"/>
      <c r="G51" s="248"/>
      <c r="H51" s="247"/>
      <c r="I51" s="248"/>
      <c r="J51" s="248"/>
      <c r="K51" s="247"/>
      <c r="L51" s="247"/>
      <c r="M51" s="247"/>
      <c r="N51" s="247"/>
      <c r="O51" s="247"/>
      <c r="P51" s="247"/>
      <c r="Q51" s="247"/>
      <c r="R51" s="247"/>
      <c r="S51" s="221"/>
      <c r="T51" s="22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s="35" customFormat="1" ht="15.5" x14ac:dyDescent="0.35">
      <c r="A52" s="24"/>
      <c r="B52" s="112" t="str">
        <f t="shared" ref="B52:C60" si="8">IF(B18="","",B18)</f>
        <v>a</v>
      </c>
      <c r="C52" s="112" t="str">
        <f>IF(C18="","",C18)</f>
        <v>a</v>
      </c>
      <c r="D52" s="113">
        <f t="shared" ref="D52:D60" si="9">IF(C52="","",IF(D36="Oui",talus*D18,0))</f>
        <v>0</v>
      </c>
      <c r="E52" s="114">
        <f>IF(C52="","",IF(E36="Oui",IF(E18=1,ben1r*D18,ben2r*D18),0))</f>
        <v>70</v>
      </c>
      <c r="F52" s="115">
        <f t="shared" ref="F52:F60" si="10">IF(C52="","",IF(F36="Oui",barb*D18,0))</f>
        <v>450</v>
      </c>
      <c r="G52" s="116">
        <f t="shared" ref="G52:G60" si="11">IF(C52="","",IF(G36="Oui",elec*D18,0))</f>
        <v>150</v>
      </c>
      <c r="H52" s="115">
        <f t="shared" ref="H52:H60" si="12">IF(C52="","",IF(H36="Oui",IF(E18=1,prep1r*D18,prep2r*D18),0))</f>
        <v>229</v>
      </c>
      <c r="I52" s="114">
        <f t="shared" ref="I52:I60" si="13">IF(C52="","",IF(E18=1,J36*plant1r+K36*plantvl1r+L36*plantmfr1r,J36*plant2r+K36*plantvl2r+L36*plantmfr2r))</f>
        <v>92.42</v>
      </c>
      <c r="J52" s="114">
        <f>IF(C52="","",IF(M36="Non",0,IF(E18=1,D18*miseplant1r,D18*miseplant2r)))</f>
        <v>185</v>
      </c>
      <c r="K52" s="114">
        <f t="shared" ref="K52:K60" si="14">IF(D52="","",IF(N36="Non",0,IF(E18=1,D18*paill1r,D18*paill2r)))</f>
        <v>250</v>
      </c>
      <c r="L52" s="115">
        <f t="shared" ref="L52:L60" si="15">IF(D52="","",IF(O36="Non",0,IF(E18=1,D18*posepaill1r,D18*posepaill2r)))</f>
        <v>182</v>
      </c>
      <c r="M52" s="115">
        <f t="shared" ref="M52:M60" si="16">IF(C52="","",IF(P36="Oui",(IF(E18=1,protgg1r*Q36,protgg2r*Q36)),0))</f>
        <v>53.199999999999996</v>
      </c>
      <c r="N52" s="115">
        <f t="shared" ref="N52:N60" si="17">IF(C52="","",IF(R36="Oui",IF(E18=1,posegg1r*Q36,posegg2r*Q36),0))</f>
        <v>38.569999999999993</v>
      </c>
      <c r="O52" s="117">
        <f t="shared" ref="O52:O60" si="18">IF(C52="","",IF(S36="Oui",(IF(E18=1,protpg1r*T36,protpg2r*T36)),0))</f>
        <v>17.8</v>
      </c>
      <c r="P52" s="117">
        <f t="shared" ref="P52:P60" si="19">IF(C52="","",IF(R36="Oui",IF(E18=1,posepg1r*T36,posepg2r*T36),0))</f>
        <v>26.6</v>
      </c>
      <c r="Q52" s="115">
        <f t="shared" ref="Q52:Q60" si="20">IF(C52="","",IF(V36="Oui",IF(E18=1,F18*tric1r,F18*tric2r),0))</f>
        <v>72</v>
      </c>
      <c r="R52" s="218">
        <f>IF(C52="","",IF(I36="Non",0,IF(E18="Oui",tricpep1r*F18,tricpep2r*F18)))</f>
        <v>28.999999999999996</v>
      </c>
      <c r="S52" s="223"/>
      <c r="T52" s="223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s="35" customFormat="1" ht="15.5" x14ac:dyDescent="0.35">
      <c r="A53" s="24"/>
      <c r="B53" s="112" t="str">
        <f t="shared" si="8"/>
        <v/>
      </c>
      <c r="C53" s="112" t="str">
        <f t="shared" si="8"/>
        <v/>
      </c>
      <c r="D53" s="113" t="str">
        <f t="shared" si="9"/>
        <v/>
      </c>
      <c r="E53" s="114" t="str">
        <f t="shared" ref="E53:E60" si="21">IF(C53="","",IF(E37="Non",0,IF(E19=1,ben1r*D19,ben2r*D19)))</f>
        <v/>
      </c>
      <c r="F53" s="115" t="str">
        <f t="shared" si="10"/>
        <v/>
      </c>
      <c r="G53" s="116" t="str">
        <f t="shared" si="11"/>
        <v/>
      </c>
      <c r="H53" s="115" t="str">
        <f t="shared" si="12"/>
        <v/>
      </c>
      <c r="I53" s="114" t="str">
        <f t="shared" si="13"/>
        <v/>
      </c>
      <c r="J53" s="114" t="str">
        <f t="shared" ref="J53:J60" si="22">IF(C53="","",IF(M37="Non",0,IF(E19=1,F19*miseplant1r,F19*miseplant2r)))</f>
        <v/>
      </c>
      <c r="K53" s="114" t="str">
        <f t="shared" si="14"/>
        <v/>
      </c>
      <c r="L53" s="115" t="str">
        <f t="shared" si="15"/>
        <v/>
      </c>
      <c r="M53" s="115" t="str">
        <f t="shared" si="16"/>
        <v/>
      </c>
      <c r="N53" s="115" t="str">
        <f t="shared" si="17"/>
        <v/>
      </c>
      <c r="O53" s="117" t="str">
        <f t="shared" si="18"/>
        <v/>
      </c>
      <c r="P53" s="114" t="str">
        <f t="shared" si="19"/>
        <v/>
      </c>
      <c r="Q53" s="115" t="str">
        <f t="shared" si="20"/>
        <v/>
      </c>
      <c r="R53" s="218" t="str">
        <f t="shared" ref="R53:R60" si="23">IF(C53="","",IF(I37="Oui",IF(E19="Oui",tricpep1r*F19,tricpep2r*F19),0))</f>
        <v/>
      </c>
      <c r="S53" s="223"/>
      <c r="T53" s="223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s="35" customFormat="1" ht="15.5" x14ac:dyDescent="0.35">
      <c r="A54" s="24"/>
      <c r="B54" s="112" t="str">
        <f t="shared" si="8"/>
        <v/>
      </c>
      <c r="C54" s="112" t="str">
        <f t="shared" si="8"/>
        <v/>
      </c>
      <c r="D54" s="113" t="str">
        <f t="shared" si="9"/>
        <v/>
      </c>
      <c r="E54" s="114" t="str">
        <f t="shared" si="21"/>
        <v/>
      </c>
      <c r="F54" s="115" t="str">
        <f t="shared" si="10"/>
        <v/>
      </c>
      <c r="G54" s="116" t="str">
        <f t="shared" si="11"/>
        <v/>
      </c>
      <c r="H54" s="115" t="str">
        <f t="shared" si="12"/>
        <v/>
      </c>
      <c r="I54" s="114" t="str">
        <f t="shared" si="13"/>
        <v/>
      </c>
      <c r="J54" s="114" t="str">
        <f t="shared" si="22"/>
        <v/>
      </c>
      <c r="K54" s="114" t="str">
        <f t="shared" si="14"/>
        <v/>
      </c>
      <c r="L54" s="115" t="str">
        <f t="shared" si="15"/>
        <v/>
      </c>
      <c r="M54" s="115" t="str">
        <f t="shared" si="16"/>
        <v/>
      </c>
      <c r="N54" s="115" t="str">
        <f t="shared" si="17"/>
        <v/>
      </c>
      <c r="O54" s="114" t="str">
        <f t="shared" si="18"/>
        <v/>
      </c>
      <c r="P54" s="114" t="str">
        <f t="shared" si="19"/>
        <v/>
      </c>
      <c r="Q54" s="115" t="str">
        <f t="shared" si="20"/>
        <v/>
      </c>
      <c r="R54" s="218" t="str">
        <f t="shared" si="23"/>
        <v/>
      </c>
      <c r="S54" s="223"/>
      <c r="T54" s="223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s="35" customFormat="1" ht="15.5" x14ac:dyDescent="0.35">
      <c r="A55" s="24"/>
      <c r="B55" s="112" t="str">
        <f t="shared" si="8"/>
        <v/>
      </c>
      <c r="C55" s="112" t="str">
        <f t="shared" si="8"/>
        <v/>
      </c>
      <c r="D55" s="113" t="str">
        <f t="shared" si="9"/>
        <v/>
      </c>
      <c r="E55" s="114" t="str">
        <f t="shared" si="21"/>
        <v/>
      </c>
      <c r="F55" s="115" t="str">
        <f t="shared" si="10"/>
        <v/>
      </c>
      <c r="G55" s="116" t="str">
        <f t="shared" si="11"/>
        <v/>
      </c>
      <c r="H55" s="115" t="str">
        <f t="shared" si="12"/>
        <v/>
      </c>
      <c r="I55" s="114" t="str">
        <f t="shared" si="13"/>
        <v/>
      </c>
      <c r="J55" s="114" t="str">
        <f t="shared" si="22"/>
        <v/>
      </c>
      <c r="K55" s="114" t="str">
        <f t="shared" si="14"/>
        <v/>
      </c>
      <c r="L55" s="115" t="str">
        <f t="shared" si="15"/>
        <v/>
      </c>
      <c r="M55" s="115" t="str">
        <f t="shared" si="16"/>
        <v/>
      </c>
      <c r="N55" s="115" t="str">
        <f t="shared" si="17"/>
        <v/>
      </c>
      <c r="O55" s="114" t="str">
        <f t="shared" si="18"/>
        <v/>
      </c>
      <c r="P55" s="114" t="str">
        <f t="shared" si="19"/>
        <v/>
      </c>
      <c r="Q55" s="115" t="str">
        <f t="shared" si="20"/>
        <v/>
      </c>
      <c r="R55" s="218" t="str">
        <f t="shared" si="23"/>
        <v/>
      </c>
      <c r="S55" s="223"/>
      <c r="T55" s="223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s="35" customFormat="1" ht="15.5" x14ac:dyDescent="0.35">
      <c r="A56" s="24"/>
      <c r="B56" s="112" t="str">
        <f t="shared" si="8"/>
        <v/>
      </c>
      <c r="C56" s="112" t="str">
        <f t="shared" si="8"/>
        <v/>
      </c>
      <c r="D56" s="113" t="str">
        <f t="shared" si="9"/>
        <v/>
      </c>
      <c r="E56" s="114" t="str">
        <f t="shared" si="21"/>
        <v/>
      </c>
      <c r="F56" s="115" t="str">
        <f t="shared" si="10"/>
        <v/>
      </c>
      <c r="G56" s="116" t="str">
        <f t="shared" si="11"/>
        <v/>
      </c>
      <c r="H56" s="115" t="str">
        <f t="shared" si="12"/>
        <v/>
      </c>
      <c r="I56" s="114" t="str">
        <f t="shared" si="13"/>
        <v/>
      </c>
      <c r="J56" s="114" t="str">
        <f t="shared" si="22"/>
        <v/>
      </c>
      <c r="K56" s="114" t="str">
        <f t="shared" si="14"/>
        <v/>
      </c>
      <c r="L56" s="115" t="str">
        <f t="shared" si="15"/>
        <v/>
      </c>
      <c r="M56" s="115" t="str">
        <f t="shared" si="16"/>
        <v/>
      </c>
      <c r="N56" s="115" t="str">
        <f t="shared" si="17"/>
        <v/>
      </c>
      <c r="O56" s="114" t="str">
        <f t="shared" si="18"/>
        <v/>
      </c>
      <c r="P56" s="114" t="str">
        <f t="shared" si="19"/>
        <v/>
      </c>
      <c r="Q56" s="115" t="str">
        <f t="shared" si="20"/>
        <v/>
      </c>
      <c r="R56" s="218" t="str">
        <f t="shared" si="23"/>
        <v/>
      </c>
      <c r="S56" s="223"/>
      <c r="T56" s="223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s="35" customFormat="1" ht="15.5" x14ac:dyDescent="0.35">
      <c r="A57" s="24"/>
      <c r="B57" s="112" t="str">
        <f t="shared" si="8"/>
        <v/>
      </c>
      <c r="C57" s="112" t="str">
        <f t="shared" si="8"/>
        <v/>
      </c>
      <c r="D57" s="113" t="str">
        <f t="shared" si="9"/>
        <v/>
      </c>
      <c r="E57" s="114" t="str">
        <f t="shared" si="21"/>
        <v/>
      </c>
      <c r="F57" s="115" t="str">
        <f t="shared" si="10"/>
        <v/>
      </c>
      <c r="G57" s="116" t="str">
        <f t="shared" si="11"/>
        <v/>
      </c>
      <c r="H57" s="115" t="str">
        <f t="shared" si="12"/>
        <v/>
      </c>
      <c r="I57" s="114" t="str">
        <f t="shared" si="13"/>
        <v/>
      </c>
      <c r="J57" s="114" t="str">
        <f t="shared" si="22"/>
        <v/>
      </c>
      <c r="K57" s="114" t="str">
        <f t="shared" si="14"/>
        <v/>
      </c>
      <c r="L57" s="115" t="str">
        <f t="shared" si="15"/>
        <v/>
      </c>
      <c r="M57" s="115" t="str">
        <f t="shared" si="16"/>
        <v/>
      </c>
      <c r="N57" s="115" t="str">
        <f t="shared" si="17"/>
        <v/>
      </c>
      <c r="O57" s="114" t="str">
        <f t="shared" si="18"/>
        <v/>
      </c>
      <c r="P57" s="114" t="str">
        <f t="shared" si="19"/>
        <v/>
      </c>
      <c r="Q57" s="115" t="str">
        <f t="shared" si="20"/>
        <v/>
      </c>
      <c r="R57" s="218" t="str">
        <f t="shared" si="23"/>
        <v/>
      </c>
      <c r="S57" s="223"/>
      <c r="T57" s="223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s="35" customFormat="1" ht="15.5" x14ac:dyDescent="0.35">
      <c r="A58" s="24"/>
      <c r="B58" s="112" t="str">
        <f t="shared" si="8"/>
        <v/>
      </c>
      <c r="C58" s="112" t="str">
        <f t="shared" si="8"/>
        <v/>
      </c>
      <c r="D58" s="113" t="str">
        <f t="shared" si="9"/>
        <v/>
      </c>
      <c r="E58" s="114" t="str">
        <f t="shared" si="21"/>
        <v/>
      </c>
      <c r="F58" s="115" t="str">
        <f t="shared" si="10"/>
        <v/>
      </c>
      <c r="G58" s="116" t="str">
        <f t="shared" si="11"/>
        <v/>
      </c>
      <c r="H58" s="115" t="str">
        <f t="shared" si="12"/>
        <v/>
      </c>
      <c r="I58" s="114" t="str">
        <f t="shared" si="13"/>
        <v/>
      </c>
      <c r="J58" s="114" t="str">
        <f t="shared" si="22"/>
        <v/>
      </c>
      <c r="K58" s="114" t="str">
        <f t="shared" si="14"/>
        <v/>
      </c>
      <c r="L58" s="115" t="str">
        <f t="shared" si="15"/>
        <v/>
      </c>
      <c r="M58" s="115" t="str">
        <f t="shared" si="16"/>
        <v/>
      </c>
      <c r="N58" s="115" t="str">
        <f t="shared" si="17"/>
        <v/>
      </c>
      <c r="O58" s="114" t="str">
        <f t="shared" si="18"/>
        <v/>
      </c>
      <c r="P58" s="114" t="str">
        <f t="shared" si="19"/>
        <v/>
      </c>
      <c r="Q58" s="115" t="str">
        <f t="shared" si="20"/>
        <v/>
      </c>
      <c r="R58" s="218" t="str">
        <f t="shared" si="23"/>
        <v/>
      </c>
      <c r="S58" s="223"/>
      <c r="T58" s="223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s="35" customFormat="1" ht="15.5" x14ac:dyDescent="0.35">
      <c r="A59" s="24"/>
      <c r="B59" s="112" t="str">
        <f t="shared" si="8"/>
        <v/>
      </c>
      <c r="C59" s="112" t="str">
        <f t="shared" si="8"/>
        <v/>
      </c>
      <c r="D59" s="113" t="str">
        <f t="shared" si="9"/>
        <v/>
      </c>
      <c r="E59" s="114" t="str">
        <f t="shared" si="21"/>
        <v/>
      </c>
      <c r="F59" s="115" t="str">
        <f t="shared" si="10"/>
        <v/>
      </c>
      <c r="G59" s="116" t="str">
        <f t="shared" si="11"/>
        <v/>
      </c>
      <c r="H59" s="115" t="str">
        <f t="shared" si="12"/>
        <v/>
      </c>
      <c r="I59" s="114" t="str">
        <f t="shared" si="13"/>
        <v/>
      </c>
      <c r="J59" s="114" t="str">
        <f t="shared" si="22"/>
        <v/>
      </c>
      <c r="K59" s="114" t="str">
        <f t="shared" si="14"/>
        <v/>
      </c>
      <c r="L59" s="115" t="str">
        <f t="shared" si="15"/>
        <v/>
      </c>
      <c r="M59" s="115" t="str">
        <f t="shared" si="16"/>
        <v/>
      </c>
      <c r="N59" s="115" t="str">
        <f t="shared" si="17"/>
        <v/>
      </c>
      <c r="O59" s="117" t="str">
        <f t="shared" si="18"/>
        <v/>
      </c>
      <c r="P59" s="117" t="str">
        <f t="shared" si="19"/>
        <v/>
      </c>
      <c r="Q59" s="115" t="str">
        <f t="shared" si="20"/>
        <v/>
      </c>
      <c r="R59" s="218" t="str">
        <f t="shared" si="23"/>
        <v/>
      </c>
      <c r="S59" s="223"/>
      <c r="T59" s="223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s="35" customFormat="1" ht="15.5" x14ac:dyDescent="0.35">
      <c r="A60" s="24"/>
      <c r="B60" s="112" t="str">
        <f t="shared" si="8"/>
        <v/>
      </c>
      <c r="C60" s="112" t="str">
        <f t="shared" si="8"/>
        <v/>
      </c>
      <c r="D60" s="113" t="str">
        <f t="shared" si="9"/>
        <v/>
      </c>
      <c r="E60" s="114" t="str">
        <f t="shared" si="21"/>
        <v/>
      </c>
      <c r="F60" s="115" t="str">
        <f t="shared" si="10"/>
        <v/>
      </c>
      <c r="G60" s="116" t="str">
        <f t="shared" si="11"/>
        <v/>
      </c>
      <c r="H60" s="115" t="str">
        <f t="shared" si="12"/>
        <v/>
      </c>
      <c r="I60" s="114" t="str">
        <f t="shared" si="13"/>
        <v/>
      </c>
      <c r="J60" s="114" t="str">
        <f t="shared" si="22"/>
        <v/>
      </c>
      <c r="K60" s="114" t="str">
        <f t="shared" si="14"/>
        <v/>
      </c>
      <c r="L60" s="115" t="str">
        <f t="shared" si="15"/>
        <v/>
      </c>
      <c r="M60" s="115" t="str">
        <f t="shared" si="16"/>
        <v/>
      </c>
      <c r="N60" s="115" t="str">
        <f t="shared" si="17"/>
        <v/>
      </c>
      <c r="O60" s="117" t="str">
        <f t="shared" si="18"/>
        <v/>
      </c>
      <c r="P60" s="117" t="str">
        <f t="shared" si="19"/>
        <v/>
      </c>
      <c r="Q60" s="115" t="str">
        <f t="shared" si="20"/>
        <v/>
      </c>
      <c r="R60" s="219" t="str">
        <f t="shared" si="23"/>
        <v/>
      </c>
      <c r="S60" s="223"/>
      <c r="T60" s="22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s="35" customFormat="1" ht="15.5" x14ac:dyDescent="0.35">
      <c r="A61" s="6"/>
      <c r="B61" s="118" t="s">
        <v>27</v>
      </c>
      <c r="C61" s="119">
        <f>SUM(D61:R61)</f>
        <v>1845.59</v>
      </c>
      <c r="D61" s="120">
        <f t="shared" ref="D61:R61" si="24">SUM(D52:D60)</f>
        <v>0</v>
      </c>
      <c r="E61" s="120">
        <f t="shared" si="24"/>
        <v>70</v>
      </c>
      <c r="F61" s="120">
        <f t="shared" si="24"/>
        <v>450</v>
      </c>
      <c r="G61" s="120">
        <f t="shared" si="24"/>
        <v>150</v>
      </c>
      <c r="H61" s="120">
        <f t="shared" si="24"/>
        <v>229</v>
      </c>
      <c r="I61" s="120">
        <f t="shared" si="24"/>
        <v>92.42</v>
      </c>
      <c r="J61" s="120">
        <f t="shared" si="24"/>
        <v>185</v>
      </c>
      <c r="K61" s="120">
        <f t="shared" si="24"/>
        <v>250</v>
      </c>
      <c r="L61" s="120">
        <f t="shared" si="24"/>
        <v>182</v>
      </c>
      <c r="M61" s="120">
        <f t="shared" si="24"/>
        <v>53.199999999999996</v>
      </c>
      <c r="N61" s="120">
        <f t="shared" si="24"/>
        <v>38.569999999999993</v>
      </c>
      <c r="O61" s="120">
        <f t="shared" si="24"/>
        <v>17.8</v>
      </c>
      <c r="P61" s="120">
        <f t="shared" si="24"/>
        <v>26.6</v>
      </c>
      <c r="Q61" s="120">
        <f t="shared" si="24"/>
        <v>72</v>
      </c>
      <c r="R61" s="220">
        <f t="shared" si="24"/>
        <v>28.999999999999996</v>
      </c>
      <c r="S61" s="224"/>
      <c r="T61" s="22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s="35" customFormat="1" ht="15.5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25"/>
      <c r="T62" s="225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s="35" customFormat="1" ht="15.5" x14ac:dyDescent="0.35">
      <c r="A63" s="6"/>
      <c r="B63" s="250" t="s">
        <v>59</v>
      </c>
      <c r="C63" s="250"/>
      <c r="D63" s="121">
        <f>SUM(D61:G61)</f>
        <v>670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s="35" customFormat="1" ht="15.5" x14ac:dyDescent="0.35">
      <c r="A64" s="6"/>
      <c r="B64" s="250" t="s">
        <v>60</v>
      </c>
      <c r="C64" s="250"/>
      <c r="D64" s="121">
        <f>SUM(H61:R61)</f>
        <v>1175.5899999999999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s="35" customFormat="1" ht="15.5" x14ac:dyDescent="0.35">
      <c r="A65" s="6"/>
      <c r="B65" s="252"/>
      <c r="C65" s="252"/>
      <c r="D65" s="2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5.5" x14ac:dyDescent="0.35">
      <c r="A66" s="1"/>
      <c r="C66" s="188" t="s">
        <v>27</v>
      </c>
      <c r="D66" s="189">
        <f>SUM(D64,D63)</f>
        <v>1845.59</v>
      </c>
      <c r="E66" s="1"/>
      <c r="F66" s="1"/>
      <c r="G66" s="1"/>
      <c r="H66" s="1"/>
      <c r="I66" s="1"/>
      <c r="J66" s="1"/>
      <c r="K66" s="1"/>
      <c r="L66" s="1"/>
      <c r="M66" s="122"/>
      <c r="N66" s="123"/>
      <c r="O66" s="253" t="s">
        <v>61</v>
      </c>
      <c r="P66" s="253"/>
      <c r="Q66" s="123"/>
      <c r="R66" s="124"/>
      <c r="S66" s="1"/>
      <c r="T66" s="1"/>
      <c r="U66" s="1"/>
      <c r="V66" s="1"/>
    </row>
    <row r="67" spans="1:4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25"/>
      <c r="N67" s="126"/>
      <c r="O67" s="126"/>
      <c r="P67" s="126"/>
      <c r="Q67" s="126"/>
      <c r="R67" s="127"/>
      <c r="S67" s="1"/>
      <c r="T67" s="1"/>
      <c r="U67" s="1"/>
      <c r="V67" s="1"/>
    </row>
    <row r="68" spans="1:4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25"/>
      <c r="N68" s="126"/>
      <c r="O68" s="126"/>
      <c r="P68" s="126"/>
      <c r="Q68" s="126"/>
      <c r="R68" s="127"/>
      <c r="S68" s="1"/>
      <c r="T68" s="1"/>
      <c r="U68" s="1"/>
      <c r="V68" s="1"/>
    </row>
    <row r="69" spans="1:4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25" t="s">
        <v>62</v>
      </c>
      <c r="N69" s="254"/>
      <c r="O69" s="254"/>
      <c r="P69" s="126" t="s">
        <v>63</v>
      </c>
      <c r="Q69" s="126"/>
      <c r="R69" s="127"/>
      <c r="S69" s="1"/>
      <c r="T69" s="1"/>
      <c r="U69" s="1"/>
      <c r="V69" s="1"/>
    </row>
    <row r="70" spans="1:4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25"/>
      <c r="N70" s="126"/>
      <c r="O70" s="126"/>
      <c r="P70" s="126"/>
      <c r="Q70" s="126"/>
      <c r="R70" s="127"/>
      <c r="S70" s="1"/>
      <c r="T70" s="1"/>
      <c r="U70" s="1"/>
      <c r="V70" s="1"/>
    </row>
    <row r="71" spans="1:4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55" t="s">
        <v>64</v>
      </c>
      <c r="N71" s="255"/>
      <c r="O71" s="126"/>
      <c r="P71" s="126"/>
      <c r="Q71" s="126"/>
      <c r="R71" s="127"/>
      <c r="S71" s="1"/>
      <c r="T71" s="1"/>
      <c r="U71" s="1"/>
      <c r="V71" s="1"/>
    </row>
    <row r="72" spans="1:4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25"/>
      <c r="N72" s="126"/>
      <c r="O72" s="126"/>
      <c r="P72" s="126"/>
      <c r="Q72" s="126"/>
      <c r="R72" s="127"/>
      <c r="S72" s="1"/>
      <c r="T72" s="1"/>
      <c r="U72" s="1"/>
      <c r="V72" s="1"/>
    </row>
    <row r="73" spans="1:4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28"/>
      <c r="N73" s="129"/>
      <c r="O73" s="129"/>
      <c r="P73" s="129"/>
      <c r="Q73" s="129"/>
      <c r="R73" s="130"/>
      <c r="S73" s="1"/>
      <c r="T73" s="1"/>
      <c r="U73" s="1"/>
      <c r="V73" s="1"/>
    </row>
    <row r="74" spans="1:4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8"/>
      <c r="M74" s="8"/>
      <c r="N74" s="8"/>
      <c r="O74" s="8"/>
      <c r="P74" s="8"/>
      <c r="Q74" s="8"/>
      <c r="R74" s="8"/>
      <c r="S74" s="8"/>
      <c r="T74" s="1"/>
      <c r="U74" s="1"/>
      <c r="V74" s="1"/>
    </row>
    <row r="75" spans="1:4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8"/>
      <c r="M75" s="8"/>
      <c r="N75" s="8"/>
      <c r="O75" s="8"/>
      <c r="P75" s="8"/>
      <c r="Q75" s="8"/>
      <c r="R75" s="8"/>
      <c r="S75" s="8"/>
      <c r="T75" s="1"/>
      <c r="U75" s="1"/>
      <c r="V75" s="1"/>
    </row>
    <row r="76" spans="1:4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8"/>
      <c r="M76" s="8"/>
      <c r="N76" s="8"/>
      <c r="O76" s="8"/>
      <c r="P76" s="8"/>
      <c r="Q76" s="8"/>
      <c r="R76" s="8"/>
      <c r="S76" s="8"/>
      <c r="T76" s="1"/>
      <c r="U76" s="1"/>
      <c r="V76" s="1"/>
    </row>
    <row r="77" spans="1:4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251"/>
      <c r="N77" s="251"/>
      <c r="O77" s="251"/>
      <c r="P77" s="251"/>
      <c r="Q77" s="251"/>
      <c r="R77" s="251"/>
      <c r="S77" s="8"/>
      <c r="T77" s="1"/>
      <c r="U77" s="1"/>
      <c r="V77" s="1"/>
    </row>
    <row r="78" spans="1:4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8"/>
      <c r="M78" s="8"/>
      <c r="N78" s="8"/>
      <c r="O78" s="8"/>
      <c r="P78" s="8"/>
      <c r="Q78" s="8"/>
      <c r="R78" s="8"/>
      <c r="S78" s="8"/>
      <c r="T78" s="1"/>
      <c r="U78" s="1"/>
      <c r="V78" s="1"/>
    </row>
    <row r="79" spans="1:4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8"/>
      <c r="M79" s="8"/>
      <c r="N79" s="8"/>
      <c r="O79" s="8"/>
      <c r="P79" s="8"/>
      <c r="Q79" s="8"/>
      <c r="R79" s="8"/>
      <c r="S79" s="8"/>
      <c r="T79" s="1"/>
      <c r="U79" s="1"/>
      <c r="V79" s="1"/>
    </row>
    <row r="80" spans="1:4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3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1" customFormat="1" x14ac:dyDescent="0.35"/>
    <row r="91" spans="1:22" s="1" customFormat="1" x14ac:dyDescent="0.35"/>
    <row r="92" spans="1:22" s="1" customFormat="1" x14ac:dyDescent="0.35"/>
    <row r="93" spans="1:22" s="1" customFormat="1" x14ac:dyDescent="0.35"/>
    <row r="94" spans="1:22" s="1" customFormat="1" x14ac:dyDescent="0.35"/>
    <row r="95" spans="1:22" s="1" customFormat="1" x14ac:dyDescent="0.35"/>
    <row r="96" spans="1:22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</sheetData>
  <mergeCells count="37">
    <mergeCell ref="M77:R77"/>
    <mergeCell ref="B64:C64"/>
    <mergeCell ref="B65:C65"/>
    <mergeCell ref="O66:P66"/>
    <mergeCell ref="N69:O69"/>
    <mergeCell ref="M71:N71"/>
    <mergeCell ref="P50:P51"/>
    <mergeCell ref="Q50:Q51"/>
    <mergeCell ref="R50:R51"/>
    <mergeCell ref="S50:T50"/>
    <mergeCell ref="B63:C63"/>
    <mergeCell ref="D49:G49"/>
    <mergeCell ref="H49:R49"/>
    <mergeCell ref="S49:T49"/>
    <mergeCell ref="B50:C50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W33:X33"/>
    <mergeCell ref="B34:C34"/>
    <mergeCell ref="J34:L34"/>
    <mergeCell ref="P34:Q34"/>
    <mergeCell ref="S34:T34"/>
    <mergeCell ref="C8:F8"/>
    <mergeCell ref="B16:C16"/>
    <mergeCell ref="D16:J16"/>
    <mergeCell ref="D33:G33"/>
    <mergeCell ref="H33:V33"/>
  </mergeCells>
  <conditionalFormatting sqref="I18">
    <cfRule type="cellIs" dxfId="19" priority="2" operator="lessThan">
      <formula>$H$18*0.2</formula>
    </cfRule>
  </conditionalFormatting>
  <conditionalFormatting sqref="I19">
    <cfRule type="cellIs" dxfId="18" priority="3" operator="lessThan">
      <formula>$H$19*0.2</formula>
    </cfRule>
  </conditionalFormatting>
  <conditionalFormatting sqref="I20">
    <cfRule type="cellIs" dxfId="17" priority="4" operator="lessThan">
      <formula>$H$20*0.2</formula>
    </cfRule>
  </conditionalFormatting>
  <conditionalFormatting sqref="I21">
    <cfRule type="cellIs" dxfId="16" priority="5" operator="lessThan">
      <formula>$H$21*0.2</formula>
    </cfRule>
  </conditionalFormatting>
  <conditionalFormatting sqref="I22">
    <cfRule type="cellIs" dxfId="15" priority="6" operator="lessThan">
      <formula>$H$22*0.2</formula>
    </cfRule>
  </conditionalFormatting>
  <conditionalFormatting sqref="I23">
    <cfRule type="cellIs" dxfId="14" priority="7" operator="lessThan">
      <formula>$H$23*0.2</formula>
    </cfRule>
  </conditionalFormatting>
  <conditionalFormatting sqref="I24">
    <cfRule type="cellIs" dxfId="13" priority="8" operator="lessThan">
      <formula>$H$24*0.2</formula>
    </cfRule>
  </conditionalFormatting>
  <conditionalFormatting sqref="I25">
    <cfRule type="cellIs" dxfId="12" priority="9" operator="lessThan">
      <formula>$H$25*0.2</formula>
    </cfRule>
  </conditionalFormatting>
  <conditionalFormatting sqref="I26">
    <cfRule type="cellIs" dxfId="11" priority="10" operator="lessThan">
      <formula>$H$26*0.2</formula>
    </cfRule>
  </conditionalFormatting>
  <conditionalFormatting sqref="I27">
    <cfRule type="cellIs" dxfId="10" priority="11" operator="lessThan">
      <formula>$H$27*0.2</formula>
    </cfRule>
  </conditionalFormatting>
  <conditionalFormatting sqref="J36:L36">
    <cfRule type="expression" dxfId="9" priority="20">
      <formula>$O$18&gt;$H$18</formula>
    </cfRule>
  </conditionalFormatting>
  <conditionalFormatting sqref="J37:L37">
    <cfRule type="expression" dxfId="8" priority="21">
      <formula>$O$19&gt;$H$19</formula>
    </cfRule>
  </conditionalFormatting>
  <conditionalFormatting sqref="J38:L38">
    <cfRule type="expression" dxfId="7" priority="22">
      <formula>$O$20&gt;$H$20</formula>
    </cfRule>
  </conditionalFormatting>
  <conditionalFormatting sqref="J39:L39">
    <cfRule type="expression" dxfId="6" priority="23">
      <formula>$O$21&gt;$H$21</formula>
    </cfRule>
  </conditionalFormatting>
  <conditionalFormatting sqref="J41:L41">
    <cfRule type="expression" dxfId="5" priority="24">
      <formula>$O$23&gt;$H$23</formula>
    </cfRule>
  </conditionalFormatting>
  <conditionalFormatting sqref="J40:L40">
    <cfRule type="expression" dxfId="4" priority="25">
      <formula>$O$22&gt;$I$22</formula>
    </cfRule>
  </conditionalFormatting>
  <conditionalFormatting sqref="J42:L42">
    <cfRule type="expression" dxfId="3" priority="26">
      <formula>$O$24&gt;$H$24</formula>
    </cfRule>
  </conditionalFormatting>
  <conditionalFormatting sqref="J43:L43">
    <cfRule type="expression" dxfId="2" priority="27">
      <formula>$O$25&gt;$H$25</formula>
    </cfRule>
  </conditionalFormatting>
  <conditionalFormatting sqref="J44:L44">
    <cfRule type="expression" dxfId="1" priority="28">
      <formula>$O$26&gt;$H$26</formula>
    </cfRule>
  </conditionalFormatting>
  <conditionalFormatting sqref="J45:L45">
    <cfRule type="expression" dxfId="0" priority="29">
      <formula>$O$27&gt;$H$27</formula>
    </cfRule>
  </conditionalFormatting>
  <dataValidations count="3">
    <dataValidation type="list" operator="equal" allowBlank="1" showInputMessage="1" showErrorMessage="1" sqref="E18:E27">
      <formula1>$N$2:$N$4</formula1>
      <formula2>0</formula2>
    </dataValidation>
    <dataValidation type="list" operator="equal" allowBlank="1" showInputMessage="1" showErrorMessage="1" sqref="G18:G27">
      <formula1>$M$1:$M$4</formula1>
      <formula2>0</formula2>
    </dataValidation>
    <dataValidation type="list" operator="equal" allowBlank="1" showInputMessage="1" showErrorMessage="1" sqref="D36:G45 I36:I45 M36:P45 R36:S45 U36:X45">
      <formula1>$N$5:$N$6</formula1>
      <formula2>0</formula2>
    </dataValidation>
  </dataValidations>
  <pageMargins left="0.25" right="0.25" top="0.75" bottom="0.75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20"/>
  <sheetViews>
    <sheetView zoomScale="85" zoomScaleNormal="85" workbookViewId="0">
      <selection activeCell="B2" sqref="B2"/>
    </sheetView>
  </sheetViews>
  <sheetFormatPr baseColWidth="10" defaultColWidth="10.7265625" defaultRowHeight="14.5" x14ac:dyDescent="0.35"/>
  <cols>
    <col min="1" max="1" width="2.54296875" customWidth="1"/>
    <col min="2" max="2" width="16.54296875" customWidth="1"/>
    <col min="3" max="3" width="14.7265625" customWidth="1"/>
    <col min="4" max="4" width="15" customWidth="1"/>
    <col min="5" max="9" width="16.54296875" customWidth="1"/>
    <col min="10" max="10" width="14.7265625" customWidth="1"/>
    <col min="11" max="11" width="16.54296875" customWidth="1"/>
    <col min="12" max="12" width="14.54296875" customWidth="1"/>
    <col min="13" max="13" width="16.54296875" customWidth="1"/>
    <col min="14" max="14" width="15.26953125" customWidth="1"/>
    <col min="15" max="20" width="16.54296875" customWidth="1"/>
    <col min="21" max="41" width="15" customWidth="1"/>
  </cols>
  <sheetData>
    <row r="1" spans="1:50" s="1" customFormat="1" x14ac:dyDescent="0.35"/>
    <row r="2" spans="1:50" s="1" customFormat="1" x14ac:dyDescent="0.35">
      <c r="G2" s="3" t="s">
        <v>0</v>
      </c>
    </row>
    <row r="3" spans="1:50" s="1" customFormat="1" x14ac:dyDescent="0.35">
      <c r="G3" s="3" t="s">
        <v>1</v>
      </c>
    </row>
    <row r="4" spans="1:50" s="1" customFormat="1" x14ac:dyDescent="0.35">
      <c r="G4" s="4" t="s">
        <v>2</v>
      </c>
    </row>
    <row r="5" spans="1:50" s="1" customFormat="1" x14ac:dyDescent="0.35"/>
    <row r="6" spans="1:50" x14ac:dyDescent="0.35">
      <c r="A6" s="1"/>
      <c r="B6" s="1"/>
      <c r="C6" s="1"/>
      <c r="D6" s="1"/>
      <c r="E6" s="1"/>
      <c r="F6" s="1"/>
      <c r="G6" s="1"/>
      <c r="H6" s="1"/>
      <c r="I6" s="1"/>
      <c r="J6" s="2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x14ac:dyDescent="0.35">
      <c r="A7" s="1"/>
      <c r="C7" s="132"/>
      <c r="D7" s="132"/>
      <c r="E7" s="1"/>
      <c r="F7" s="1"/>
      <c r="G7" s="1"/>
      <c r="H7" s="1"/>
      <c r="I7" s="1"/>
      <c r="J7" s="2" t="s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2" t="s">
        <v>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x14ac:dyDescent="0.35">
      <c r="A8" s="1"/>
      <c r="C8" s="132"/>
      <c r="D8" s="132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5" x14ac:dyDescent="0.35">
      <c r="A9" s="1"/>
      <c r="B9" s="6" t="s">
        <v>5</v>
      </c>
      <c r="C9" s="234"/>
      <c r="D9" s="234"/>
      <c r="E9" s="234"/>
      <c r="F9" s="234"/>
      <c r="G9" s="1"/>
      <c r="H9" s="1"/>
      <c r="I9" s="1"/>
      <c r="J9" s="1"/>
      <c r="K9" s="1"/>
      <c r="L9" s="1"/>
      <c r="M9" s="1"/>
      <c r="N9" s="1"/>
      <c r="O9" s="2">
        <f>K44+L44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50" ht="15.5" x14ac:dyDescent="0.35">
      <c r="A10" s="1"/>
      <c r="B10" s="133" t="s">
        <v>65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3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x14ac:dyDescent="0.35">
      <c r="A11" s="1"/>
      <c r="B11" s="9"/>
      <c r="C11" s="1" t="s">
        <v>6</v>
      </c>
      <c r="D11" s="1"/>
      <c r="E11" s="1"/>
      <c r="F11" s="135"/>
      <c r="G11" s="256"/>
      <c r="H11" s="256"/>
      <c r="I11" s="256"/>
      <c r="J11" s="256"/>
      <c r="K11" s="8"/>
      <c r="L11" s="8"/>
      <c r="M11" s="8"/>
      <c r="N11" s="8"/>
      <c r="O11" s="8"/>
      <c r="P11" s="1"/>
      <c r="Q11" s="1"/>
      <c r="R11" s="1"/>
      <c r="S11" s="1"/>
      <c r="T11" s="1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x14ac:dyDescent="0.35">
      <c r="A12" s="1"/>
      <c r="B12" s="10"/>
      <c r="C12" s="11" t="s">
        <v>7</v>
      </c>
      <c r="D12" s="1"/>
      <c r="E12" s="1"/>
      <c r="F12" s="135"/>
      <c r="G12" s="136"/>
      <c r="H12" s="136"/>
      <c r="I12" s="136"/>
      <c r="J12" s="136"/>
      <c r="K12" s="8"/>
      <c r="L12" s="8"/>
      <c r="M12" s="8"/>
      <c r="N12" s="8"/>
      <c r="O12" s="8"/>
      <c r="P12" s="1"/>
      <c r="Q12" s="1"/>
      <c r="R12" s="1"/>
      <c r="S12" s="1"/>
      <c r="T12" s="13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x14ac:dyDescent="0.35">
      <c r="A13" s="1"/>
      <c r="B13" s="12" t="s">
        <v>8</v>
      </c>
      <c r="C13" s="8" t="s">
        <v>9</v>
      </c>
      <c r="D13" s="1"/>
      <c r="E13" s="1"/>
      <c r="F13" s="135"/>
      <c r="G13" s="136"/>
      <c r="H13" s="136"/>
      <c r="I13" s="136"/>
      <c r="J13" s="136"/>
      <c r="K13" s="8"/>
      <c r="L13" s="8"/>
      <c r="M13" s="8"/>
      <c r="N13" s="8"/>
      <c r="O13" s="8"/>
      <c r="P13" s="1"/>
      <c r="Q13" s="1"/>
      <c r="R13" s="1"/>
      <c r="S13" s="1"/>
      <c r="T13" s="13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x14ac:dyDescent="0.35">
      <c r="A14" s="1"/>
      <c r="B14" s="135"/>
      <c r="C14" s="135"/>
      <c r="D14" s="135"/>
      <c r="E14" s="135"/>
      <c r="F14" s="135"/>
      <c r="G14" s="136"/>
      <c r="H14" s="136"/>
      <c r="I14" s="136"/>
      <c r="J14" s="136"/>
      <c r="K14" s="8"/>
      <c r="L14" s="8"/>
      <c r="M14" s="8"/>
      <c r="N14" s="8"/>
      <c r="O14" s="8"/>
      <c r="P14" s="1"/>
      <c r="Q14" s="1"/>
      <c r="R14" s="1"/>
      <c r="S14" s="1"/>
      <c r="T14" s="13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x14ac:dyDescent="0.35">
      <c r="A15" s="1"/>
      <c r="B15" s="135"/>
      <c r="C15" s="135"/>
      <c r="D15" s="135"/>
      <c r="E15" s="135"/>
      <c r="F15" s="135"/>
      <c r="G15" s="136"/>
      <c r="H15" s="136"/>
      <c r="I15" s="136"/>
      <c r="J15" s="136"/>
      <c r="K15" s="8"/>
      <c r="L15" s="8"/>
      <c r="M15" s="8"/>
      <c r="N15" s="8"/>
      <c r="O15" s="8"/>
      <c r="P15" s="1"/>
      <c r="Q15" s="1"/>
      <c r="R15" s="1"/>
      <c r="S15" s="1"/>
      <c r="T15" s="13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30" customHeight="1" x14ac:dyDescent="0.35">
      <c r="A16" s="137"/>
      <c r="B16" s="257" t="s">
        <v>13</v>
      </c>
      <c r="C16" s="257"/>
      <c r="D16" s="257"/>
      <c r="E16" s="257"/>
      <c r="F16" s="257"/>
      <c r="G16" s="258" t="s">
        <v>36</v>
      </c>
      <c r="H16" s="258"/>
      <c r="I16" s="259" t="s">
        <v>39</v>
      </c>
      <c r="J16" s="259"/>
      <c r="K16" s="257" t="s">
        <v>38</v>
      </c>
      <c r="L16" s="257"/>
      <c r="M16" s="257"/>
      <c r="N16" s="257"/>
      <c r="O16" s="257"/>
      <c r="P16" s="260" t="s">
        <v>66</v>
      </c>
      <c r="Q16" s="260"/>
      <c r="R16" s="260"/>
      <c r="S16" s="260"/>
      <c r="T16" s="13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6" x14ac:dyDescent="0.35">
      <c r="A17" s="18"/>
      <c r="B17" s="139" t="s">
        <v>16</v>
      </c>
      <c r="C17" s="139" t="s">
        <v>67</v>
      </c>
      <c r="D17" s="139" t="s">
        <v>68</v>
      </c>
      <c r="E17" s="139" t="s">
        <v>69</v>
      </c>
      <c r="F17" s="139" t="s">
        <v>70</v>
      </c>
      <c r="G17" s="140" t="s">
        <v>71</v>
      </c>
      <c r="H17" s="141"/>
      <c r="I17" s="140" t="s">
        <v>71</v>
      </c>
      <c r="J17" s="141"/>
      <c r="K17" s="142" t="s">
        <v>72</v>
      </c>
      <c r="L17" s="143" t="s">
        <v>73</v>
      </c>
      <c r="M17" s="144" t="s">
        <v>74</v>
      </c>
      <c r="N17" s="145" t="s">
        <v>75</v>
      </c>
      <c r="O17" s="142" t="s">
        <v>76</v>
      </c>
      <c r="P17" s="140" t="s">
        <v>71</v>
      </c>
      <c r="Q17" s="143" t="s">
        <v>77</v>
      </c>
      <c r="R17" s="140" t="s">
        <v>71</v>
      </c>
      <c r="S17" s="142" t="s">
        <v>78</v>
      </c>
      <c r="T17" s="146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35">
      <c r="A18" s="147"/>
      <c r="B18" s="148" t="s">
        <v>79</v>
      </c>
      <c r="C18" s="7">
        <v>2</v>
      </c>
      <c r="D18" s="148">
        <v>0.5</v>
      </c>
      <c r="E18" s="7">
        <v>70</v>
      </c>
      <c r="F18" s="149">
        <f t="shared" ref="F18:F23" si="0">IF(B18="","",E18/C18)</f>
        <v>35</v>
      </c>
      <c r="G18" s="150" t="s">
        <v>3</v>
      </c>
      <c r="H18" s="151">
        <f t="shared" ref="H18:H23" si="1">IF(E18="","",IF(G18="Non",0,E18*agrosol))</f>
        <v>238.70000000000002</v>
      </c>
      <c r="I18" s="150" t="s">
        <v>3</v>
      </c>
      <c r="J18" s="151">
        <f t="shared" ref="J18:J23" si="2">IF(E18="","",IF(I18="Non",0,E18*agroplt))</f>
        <v>226.8</v>
      </c>
      <c r="K18" s="152">
        <v>10</v>
      </c>
      <c r="L18" s="153">
        <v>10</v>
      </c>
      <c r="M18" s="153">
        <v>10</v>
      </c>
      <c r="N18" s="154">
        <v>10</v>
      </c>
      <c r="O18" s="155">
        <v>10</v>
      </c>
      <c r="P18" s="156" t="s">
        <v>3</v>
      </c>
      <c r="Q18" s="151">
        <f t="shared" ref="Q18:Q23" si="3">IF(E18="","",IF(P18="Non",0,E18*agrpaill))</f>
        <v>185.5</v>
      </c>
      <c r="R18" s="150" t="s">
        <v>3</v>
      </c>
      <c r="S18" s="157">
        <f t="shared" ref="S18:S23" si="4">IF(E18="","",IF(R18="Non",0,E18*agrpopaill))</f>
        <v>131.6</v>
      </c>
      <c r="T18" s="15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35">
      <c r="A19" s="147"/>
      <c r="B19" s="159"/>
      <c r="C19" s="159"/>
      <c r="D19" s="159"/>
      <c r="E19" s="159"/>
      <c r="F19" s="149" t="str">
        <f t="shared" si="0"/>
        <v/>
      </c>
      <c r="G19" s="150"/>
      <c r="H19" s="151" t="str">
        <f t="shared" si="1"/>
        <v/>
      </c>
      <c r="I19" s="150"/>
      <c r="J19" s="151" t="str">
        <f t="shared" si="2"/>
        <v/>
      </c>
      <c r="K19" s="152"/>
      <c r="L19" s="153"/>
      <c r="M19" s="153"/>
      <c r="N19" s="154"/>
      <c r="O19" s="155"/>
      <c r="P19" s="156"/>
      <c r="Q19" s="151" t="str">
        <f t="shared" si="3"/>
        <v/>
      </c>
      <c r="R19" s="156" t="s">
        <v>4</v>
      </c>
      <c r="S19" s="157" t="str">
        <f t="shared" si="4"/>
        <v/>
      </c>
      <c r="T19" s="15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x14ac:dyDescent="0.35">
      <c r="A20" s="147"/>
      <c r="B20" s="148"/>
      <c r="C20" s="7"/>
      <c r="D20" s="148"/>
      <c r="E20" s="7"/>
      <c r="F20" s="149" t="str">
        <f t="shared" si="0"/>
        <v/>
      </c>
      <c r="G20" s="150"/>
      <c r="H20" s="151" t="str">
        <f t="shared" si="1"/>
        <v/>
      </c>
      <c r="I20" s="150"/>
      <c r="J20" s="151" t="str">
        <f t="shared" si="2"/>
        <v/>
      </c>
      <c r="K20" s="152"/>
      <c r="L20" s="153"/>
      <c r="M20" s="153"/>
      <c r="N20" s="154"/>
      <c r="O20" s="155"/>
      <c r="P20" s="156"/>
      <c r="Q20" s="151" t="str">
        <f t="shared" si="3"/>
        <v/>
      </c>
      <c r="R20" s="156"/>
      <c r="S20" s="157" t="str">
        <f t="shared" si="4"/>
        <v/>
      </c>
      <c r="T20" s="15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x14ac:dyDescent="0.35">
      <c r="A21" s="147"/>
      <c r="B21" s="148"/>
      <c r="C21" s="7"/>
      <c r="D21" s="148"/>
      <c r="E21" s="7"/>
      <c r="F21" s="149" t="str">
        <f t="shared" si="0"/>
        <v/>
      </c>
      <c r="G21" s="150"/>
      <c r="H21" s="151" t="str">
        <f t="shared" si="1"/>
        <v/>
      </c>
      <c r="I21" s="150"/>
      <c r="J21" s="151" t="str">
        <f t="shared" si="2"/>
        <v/>
      </c>
      <c r="K21" s="152"/>
      <c r="L21" s="153"/>
      <c r="M21" s="153"/>
      <c r="N21" s="154"/>
      <c r="O21" s="155"/>
      <c r="P21" s="156"/>
      <c r="Q21" s="151" t="str">
        <f t="shared" si="3"/>
        <v/>
      </c>
      <c r="R21" s="156"/>
      <c r="S21" s="157" t="str">
        <f t="shared" si="4"/>
        <v/>
      </c>
      <c r="T21" s="15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x14ac:dyDescent="0.35">
      <c r="A22" s="147"/>
      <c r="B22" s="148"/>
      <c r="C22" s="7"/>
      <c r="D22" s="148"/>
      <c r="E22" s="7"/>
      <c r="F22" s="149" t="str">
        <f t="shared" si="0"/>
        <v/>
      </c>
      <c r="G22" s="150"/>
      <c r="H22" s="151" t="str">
        <f t="shared" si="1"/>
        <v/>
      </c>
      <c r="I22" s="150"/>
      <c r="J22" s="151" t="str">
        <f t="shared" si="2"/>
        <v/>
      </c>
      <c r="K22" s="152"/>
      <c r="L22" s="153"/>
      <c r="M22" s="153"/>
      <c r="N22" s="154"/>
      <c r="O22" s="155"/>
      <c r="P22" s="156"/>
      <c r="Q22" s="151" t="str">
        <f t="shared" si="3"/>
        <v/>
      </c>
      <c r="R22" s="156"/>
      <c r="S22" s="157" t="str">
        <f t="shared" si="4"/>
        <v/>
      </c>
      <c r="T22" s="15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x14ac:dyDescent="0.35">
      <c r="A23" s="1"/>
      <c r="B23" s="160"/>
      <c r="C23" s="161"/>
      <c r="D23" s="162"/>
      <c r="E23" s="161"/>
      <c r="F23" s="149" t="str">
        <f t="shared" si="0"/>
        <v/>
      </c>
      <c r="G23" s="150"/>
      <c r="H23" s="163" t="str">
        <f t="shared" si="1"/>
        <v/>
      </c>
      <c r="I23" s="150"/>
      <c r="J23" s="163" t="str">
        <f t="shared" si="2"/>
        <v/>
      </c>
      <c r="K23" s="164"/>
      <c r="L23" s="165"/>
      <c r="M23" s="165"/>
      <c r="N23" s="166"/>
      <c r="O23" s="167"/>
      <c r="P23" s="156"/>
      <c r="Q23" s="151" t="str">
        <f t="shared" si="3"/>
        <v/>
      </c>
      <c r="R23" s="156"/>
      <c r="S23" s="157" t="str">
        <f t="shared" si="4"/>
        <v/>
      </c>
      <c r="T23" s="1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35">
      <c r="A24" s="1"/>
      <c r="B24" s="168" t="s">
        <v>27</v>
      </c>
      <c r="C24" s="169">
        <f>SUM(C18:C23)</f>
        <v>2</v>
      </c>
      <c r="D24" s="169">
        <f>SUM(D18:D23)</f>
        <v>0.5</v>
      </c>
      <c r="E24" s="169">
        <f>SUM(E18:E23)</f>
        <v>70</v>
      </c>
      <c r="F24" s="169">
        <f>SUM(F18:F23)</f>
        <v>35</v>
      </c>
      <c r="G24" s="170"/>
      <c r="H24" s="171">
        <f>SUM(H18:H23)</f>
        <v>238.70000000000002</v>
      </c>
      <c r="I24" s="172"/>
      <c r="J24" s="173">
        <f>SUM(J18:J23)</f>
        <v>226.8</v>
      </c>
      <c r="K24" s="174">
        <f>SUM(K18:K23)*agrplss</f>
        <v>24.2</v>
      </c>
      <c r="L24" s="174">
        <f>SUM(L18:L23)*agrvl</f>
        <v>36</v>
      </c>
      <c r="M24" s="174">
        <f>SUM(M18:M23)*agrmfr</f>
        <v>29.1</v>
      </c>
      <c r="N24" s="174">
        <f>SUM(N18:N23)*agrarbu</f>
        <v>19</v>
      </c>
      <c r="O24" s="174">
        <f>SUM(O18:O23)*agrarbuvl</f>
        <v>22.1</v>
      </c>
      <c r="P24" s="170"/>
      <c r="Q24" s="171">
        <f>SUM(Q18:Q23)</f>
        <v>185.5</v>
      </c>
      <c r="R24" s="170"/>
      <c r="S24" s="175">
        <f>SUM(S18:S23)</f>
        <v>131.6</v>
      </c>
      <c r="T24" s="176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3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 customHeight="1" x14ac:dyDescent="0.35">
      <c r="B26" s="259" t="s">
        <v>80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13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50" ht="39" x14ac:dyDescent="0.35">
      <c r="A27" s="177"/>
      <c r="B27" s="178" t="s">
        <v>71</v>
      </c>
      <c r="C27" s="144" t="s">
        <v>81</v>
      </c>
      <c r="D27" s="140" t="s">
        <v>71</v>
      </c>
      <c r="E27" s="144" t="s">
        <v>82</v>
      </c>
      <c r="F27" s="140" t="s">
        <v>71</v>
      </c>
      <c r="G27" s="142" t="s">
        <v>46</v>
      </c>
      <c r="H27" s="140" t="s">
        <v>71</v>
      </c>
      <c r="I27" s="142" t="s">
        <v>37</v>
      </c>
      <c r="J27" s="140" t="s">
        <v>71</v>
      </c>
      <c r="K27" s="142" t="s">
        <v>83</v>
      </c>
      <c r="L27" s="140" t="s">
        <v>71</v>
      </c>
      <c r="M27" s="142" t="s">
        <v>84</v>
      </c>
      <c r="N27" s="140" t="s">
        <v>71</v>
      </c>
      <c r="O27" s="142" t="s">
        <v>85</v>
      </c>
      <c r="P27" s="13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50" x14ac:dyDescent="0.35">
      <c r="A28" s="147"/>
      <c r="B28" s="150" t="s">
        <v>4</v>
      </c>
      <c r="C28" s="151">
        <f t="shared" ref="C28:C33" si="5">IF(E18="","",IF(B28="Non",0,E18*agrprotgg))</f>
        <v>0</v>
      </c>
      <c r="D28" s="150" t="s">
        <v>3</v>
      </c>
      <c r="E28" s="151">
        <f t="shared" ref="E28:E33" si="6">IF(E18="","",IF(D28="Non",0,E18*agrposegg))</f>
        <v>154.69999999999999</v>
      </c>
      <c r="F28" s="150" t="s">
        <v>3</v>
      </c>
      <c r="G28" s="151">
        <f t="shared" ref="G28:G33" si="7">IF(E18="","",IF(F28="Non",0,E18*agrtrico))</f>
        <v>50.4</v>
      </c>
      <c r="H28" s="150" t="s">
        <v>3</v>
      </c>
      <c r="I28" s="151">
        <f t="shared" ref="I28:I33" si="8">IF(E18="","",IF(H28="Non",0,E18*agrtricopep))</f>
        <v>15.4</v>
      </c>
      <c r="J28" s="150" t="s">
        <v>3</v>
      </c>
      <c r="K28" s="151">
        <f t="shared" ref="K28:K33" si="9">IF(E18="","",IF(J28="Non",0,E18*agrper))</f>
        <v>138.6</v>
      </c>
      <c r="L28" s="150" t="s">
        <v>3</v>
      </c>
      <c r="M28" s="151">
        <f t="shared" ref="M28:M33" si="10">IF(E18="","",IF(L28="Non",0,E18*agrdom))</f>
        <v>1352.4</v>
      </c>
      <c r="N28" s="150" t="s">
        <v>3</v>
      </c>
      <c r="O28" s="179">
        <f t="shared" ref="O28:O33" si="11">IF(E18="","",IF(N28="Non",0,E18*agrposedom))</f>
        <v>350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50" x14ac:dyDescent="0.35">
      <c r="A29" s="147"/>
      <c r="B29" s="150"/>
      <c r="C29" s="151" t="str">
        <f t="shared" si="5"/>
        <v/>
      </c>
      <c r="D29" s="150"/>
      <c r="E29" s="151" t="str">
        <f t="shared" si="6"/>
        <v/>
      </c>
      <c r="F29" s="150"/>
      <c r="G29" s="151" t="str">
        <f t="shared" si="7"/>
        <v/>
      </c>
      <c r="H29" s="150"/>
      <c r="I29" s="151" t="str">
        <f t="shared" si="8"/>
        <v/>
      </c>
      <c r="J29" s="150"/>
      <c r="K29" s="151" t="str">
        <f t="shared" si="9"/>
        <v/>
      </c>
      <c r="L29" s="150"/>
      <c r="M29" s="151" t="str">
        <f t="shared" si="10"/>
        <v/>
      </c>
      <c r="N29" s="150"/>
      <c r="O29" s="179" t="str">
        <f t="shared" si="11"/>
        <v/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50" x14ac:dyDescent="0.35">
      <c r="A30" s="147"/>
      <c r="B30" s="150"/>
      <c r="C30" s="151" t="str">
        <f t="shared" si="5"/>
        <v/>
      </c>
      <c r="D30" s="150"/>
      <c r="E30" s="151" t="str">
        <f t="shared" si="6"/>
        <v/>
      </c>
      <c r="F30" s="150"/>
      <c r="G30" s="151" t="str">
        <f t="shared" si="7"/>
        <v/>
      </c>
      <c r="H30" s="150"/>
      <c r="I30" s="151" t="str">
        <f t="shared" si="8"/>
        <v/>
      </c>
      <c r="J30" s="150"/>
      <c r="K30" s="151" t="str">
        <f t="shared" si="9"/>
        <v/>
      </c>
      <c r="L30" s="150"/>
      <c r="M30" s="151" t="str">
        <f t="shared" si="10"/>
        <v/>
      </c>
      <c r="N30" s="150"/>
      <c r="O30" s="179" t="str">
        <f t="shared" si="11"/>
        <v/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50" x14ac:dyDescent="0.35">
      <c r="A31" s="147"/>
      <c r="B31" s="150"/>
      <c r="C31" s="151" t="str">
        <f t="shared" si="5"/>
        <v/>
      </c>
      <c r="D31" s="150"/>
      <c r="E31" s="151" t="str">
        <f t="shared" si="6"/>
        <v/>
      </c>
      <c r="F31" s="150"/>
      <c r="G31" s="151" t="str">
        <f t="shared" si="7"/>
        <v/>
      </c>
      <c r="H31" s="150"/>
      <c r="I31" s="151" t="str">
        <f t="shared" si="8"/>
        <v/>
      </c>
      <c r="J31" s="150"/>
      <c r="K31" s="151" t="str">
        <f t="shared" si="9"/>
        <v/>
      </c>
      <c r="L31" s="150"/>
      <c r="M31" s="151" t="str">
        <f t="shared" si="10"/>
        <v/>
      </c>
      <c r="N31" s="150"/>
      <c r="O31" s="179" t="str">
        <f t="shared" si="11"/>
        <v/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50" x14ac:dyDescent="0.35">
      <c r="A32" s="147"/>
      <c r="B32" s="150"/>
      <c r="C32" s="151" t="str">
        <f t="shared" si="5"/>
        <v/>
      </c>
      <c r="D32" s="150"/>
      <c r="E32" s="151" t="str">
        <f t="shared" si="6"/>
        <v/>
      </c>
      <c r="F32" s="150"/>
      <c r="G32" s="151" t="str">
        <f t="shared" si="7"/>
        <v/>
      </c>
      <c r="H32" s="150"/>
      <c r="I32" s="151" t="str">
        <f t="shared" si="8"/>
        <v/>
      </c>
      <c r="J32" s="150"/>
      <c r="K32" s="151" t="str">
        <f t="shared" si="9"/>
        <v/>
      </c>
      <c r="L32" s="150"/>
      <c r="M32" s="151" t="str">
        <f t="shared" si="10"/>
        <v/>
      </c>
      <c r="N32" s="150"/>
      <c r="O32" s="179" t="str">
        <f t="shared" si="11"/>
        <v/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50" x14ac:dyDescent="0.35">
      <c r="A33" s="147"/>
      <c r="B33" s="150"/>
      <c r="C33" s="163" t="str">
        <f t="shared" si="5"/>
        <v/>
      </c>
      <c r="D33" s="150"/>
      <c r="E33" s="163" t="str">
        <f t="shared" si="6"/>
        <v/>
      </c>
      <c r="F33" s="150"/>
      <c r="G33" s="163" t="str">
        <f t="shared" si="7"/>
        <v/>
      </c>
      <c r="H33" s="150"/>
      <c r="I33" s="163" t="str">
        <f t="shared" si="8"/>
        <v/>
      </c>
      <c r="J33" s="150"/>
      <c r="K33" s="163" t="str">
        <f t="shared" si="9"/>
        <v/>
      </c>
      <c r="L33" s="165"/>
      <c r="M33" s="163" t="str">
        <f t="shared" si="10"/>
        <v/>
      </c>
      <c r="N33" s="150"/>
      <c r="O33" s="180" t="str">
        <f t="shared" si="11"/>
        <v/>
      </c>
      <c r="P33" s="18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50" x14ac:dyDescent="0.35">
      <c r="A34" s="1"/>
      <c r="B34" s="172"/>
      <c r="C34" s="173">
        <f>SUM(C28:C33)</f>
        <v>0</v>
      </c>
      <c r="D34" s="170"/>
      <c r="E34" s="171">
        <f>SUM(E28:E33)</f>
        <v>154.69999999999999</v>
      </c>
      <c r="F34" s="170"/>
      <c r="G34" s="171">
        <f>SUM(G28:G33)</f>
        <v>50.4</v>
      </c>
      <c r="H34" s="172"/>
      <c r="I34" s="173">
        <f>SUM(I28:I33)</f>
        <v>15.4</v>
      </c>
      <c r="J34" s="170"/>
      <c r="K34" s="171">
        <f>SUM(K28:K33)</f>
        <v>138.6</v>
      </c>
      <c r="L34" s="172"/>
      <c r="M34" s="173">
        <f>SUM(M28:M33)</f>
        <v>1352.4</v>
      </c>
      <c r="N34" s="172"/>
      <c r="O34" s="173">
        <f>SUM(O28:O33)</f>
        <v>350</v>
      </c>
      <c r="P34" s="182">
        <f>SUM(C34,E34,G34,I34,K34,M34,O34)</f>
        <v>2061.5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50" x14ac:dyDescent="0.35">
      <c r="A35" s="1"/>
      <c r="B35" s="183"/>
      <c r="C35" s="18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5" x14ac:dyDescent="0.35">
      <c r="A36" s="1"/>
      <c r="B36" s="185" t="s">
        <v>59</v>
      </c>
      <c r="C36" s="186"/>
      <c r="D36" s="187">
        <f>SUM(H24)</f>
        <v>238.70000000000002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5" x14ac:dyDescent="0.35">
      <c r="A37" s="1"/>
      <c r="B37" s="185" t="s">
        <v>60</v>
      </c>
      <c r="C37" s="186"/>
      <c r="D37" s="187">
        <f>SUM(J24:S24,P34)</f>
        <v>2735.8</v>
      </c>
      <c r="E37" s="1"/>
      <c r="F37" s="1"/>
      <c r="G37" s="1"/>
      <c r="H37" s="122"/>
      <c r="I37" s="123"/>
      <c r="J37" s="253" t="s">
        <v>61</v>
      </c>
      <c r="K37" s="253"/>
      <c r="L37" s="123"/>
      <c r="M37" s="12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5" x14ac:dyDescent="0.35">
      <c r="A38" s="1"/>
      <c r="B38" s="226"/>
      <c r="C38" s="226"/>
      <c r="D38" s="227"/>
      <c r="E38" s="1"/>
      <c r="F38" s="1"/>
      <c r="G38" s="1"/>
      <c r="H38" s="125"/>
      <c r="I38" s="126"/>
      <c r="J38" s="126"/>
      <c r="K38" s="126"/>
      <c r="L38" s="126"/>
      <c r="M38" s="12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x14ac:dyDescent="0.35">
      <c r="A39" s="1"/>
      <c r="B39" s="1"/>
      <c r="C39" s="1"/>
      <c r="D39" s="1"/>
      <c r="E39" s="1"/>
      <c r="F39" s="1"/>
      <c r="G39" s="1"/>
      <c r="H39" s="125"/>
      <c r="I39" s="126"/>
      <c r="J39" s="126"/>
      <c r="K39" s="126"/>
      <c r="L39" s="126"/>
      <c r="M39" s="12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x14ac:dyDescent="0.35">
      <c r="A40" s="1"/>
      <c r="B40" s="188" t="s">
        <v>27</v>
      </c>
      <c r="C40" s="189">
        <f>SUM(D36,D37)</f>
        <v>2974.5</v>
      </c>
      <c r="D40" s="1"/>
      <c r="E40" s="1"/>
      <c r="F40" s="1"/>
      <c r="G40" s="1"/>
      <c r="H40" s="125" t="s">
        <v>62</v>
      </c>
      <c r="I40" s="254"/>
      <c r="J40" s="254"/>
      <c r="K40" s="126" t="s">
        <v>63</v>
      </c>
      <c r="L40" s="126"/>
      <c r="M40" s="12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35">
      <c r="A41" s="1"/>
      <c r="B41" s="1"/>
      <c r="C41" s="1"/>
      <c r="D41" s="1"/>
      <c r="E41" s="1"/>
      <c r="F41" s="1"/>
      <c r="G41" s="1"/>
      <c r="H41" s="125"/>
      <c r="I41" s="126"/>
      <c r="J41" s="126"/>
      <c r="K41" s="126"/>
      <c r="L41" s="126"/>
      <c r="M41" s="12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x14ac:dyDescent="0.35">
      <c r="A42" s="1"/>
      <c r="B42" s="1"/>
      <c r="C42" s="1"/>
      <c r="D42" s="1"/>
      <c r="E42" s="1"/>
      <c r="F42" s="1"/>
      <c r="G42" s="1"/>
      <c r="H42" s="255" t="s">
        <v>64</v>
      </c>
      <c r="I42" s="255"/>
      <c r="J42" s="126"/>
      <c r="K42" s="126"/>
      <c r="L42" s="126"/>
      <c r="M42" s="12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x14ac:dyDescent="0.35">
      <c r="A43" s="1"/>
      <c r="B43" s="1"/>
      <c r="C43" s="1"/>
      <c r="D43" s="1"/>
      <c r="E43" s="1"/>
      <c r="F43" s="1"/>
      <c r="G43" s="1"/>
      <c r="H43" s="125"/>
      <c r="I43" s="126"/>
      <c r="J43" s="126"/>
      <c r="K43" s="126"/>
      <c r="L43" s="126"/>
      <c r="M43" s="12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x14ac:dyDescent="0.35">
      <c r="A44" s="1"/>
      <c r="B44" s="1"/>
      <c r="C44" s="1"/>
      <c r="D44" s="1"/>
      <c r="E44" s="1"/>
      <c r="F44" s="1"/>
      <c r="G44" s="1"/>
      <c r="H44" s="128"/>
      <c r="I44" s="129"/>
      <c r="J44" s="129"/>
      <c r="K44" s="129"/>
      <c r="L44" s="129"/>
      <c r="M44" s="13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x14ac:dyDescent="0.35">
      <c r="A45" s="1"/>
      <c r="B45" s="1"/>
      <c r="C45" s="1"/>
      <c r="D45" s="1"/>
      <c r="E45" s="1"/>
      <c r="F45" s="1"/>
      <c r="G45" s="1"/>
      <c r="H45" s="8"/>
      <c r="I45" s="8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x14ac:dyDescent="0.35">
      <c r="A46" s="1"/>
      <c r="B46" s="1"/>
      <c r="C46" s="1"/>
      <c r="D46" s="1"/>
      <c r="E46" s="1"/>
      <c r="F46" s="1"/>
      <c r="G46" s="1"/>
      <c r="H46" s="8"/>
      <c r="I46" s="8"/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x14ac:dyDescent="0.35">
      <c r="A47" s="1"/>
      <c r="B47" s="1"/>
      <c r="C47" s="1"/>
      <c r="D47" s="1"/>
      <c r="E47" s="1"/>
      <c r="F47" s="1"/>
      <c r="G47" s="1"/>
      <c r="H47" s="8"/>
      <c r="I47" s="8"/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x14ac:dyDescent="0.35">
      <c r="A48" s="1"/>
      <c r="B48" s="1"/>
      <c r="C48" s="1"/>
      <c r="D48" s="1"/>
      <c r="E48" s="1"/>
      <c r="F48" s="1"/>
      <c r="G48" s="1"/>
      <c r="H48" s="251"/>
      <c r="I48" s="251"/>
      <c r="J48" s="251"/>
      <c r="K48" s="251"/>
      <c r="L48" s="251"/>
      <c r="M48" s="25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x14ac:dyDescent="0.35">
      <c r="A49" s="1"/>
      <c r="B49" s="1"/>
      <c r="C49" s="1"/>
      <c r="D49" s="1"/>
      <c r="E49" s="1"/>
      <c r="F49" s="1"/>
      <c r="G49" s="1"/>
      <c r="H49" s="8"/>
      <c r="I49" s="8"/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x14ac:dyDescent="0.35">
      <c r="A50" s="1"/>
      <c r="B50" s="1"/>
      <c r="C50" s="1"/>
      <c r="D50" s="1"/>
      <c r="E50" s="1"/>
      <c r="F50" s="1"/>
      <c r="G50" s="1"/>
      <c r="H50" s="8"/>
      <c r="I50" s="8"/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50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50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50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50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50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50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50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50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</sheetData>
  <mergeCells count="12">
    <mergeCell ref="I40:J40"/>
    <mergeCell ref="H42:I42"/>
    <mergeCell ref="H48:M48"/>
    <mergeCell ref="K16:O16"/>
    <mergeCell ref="P16:S16"/>
    <mergeCell ref="B26:O26"/>
    <mergeCell ref="J37:K37"/>
    <mergeCell ref="C9:F9"/>
    <mergeCell ref="G11:J11"/>
    <mergeCell ref="B16:F16"/>
    <mergeCell ref="G16:H16"/>
    <mergeCell ref="I16:J16"/>
  </mergeCells>
  <conditionalFormatting sqref="F18:F23">
    <cfRule type="cellIs" dxfId="52" priority="2" operator="notBetween">
      <formula>30</formula>
      <formula>100</formula>
    </cfRule>
  </conditionalFormatting>
  <dataValidations count="2">
    <dataValidation type="list" operator="equal" allowBlank="1" showInputMessage="1" showErrorMessage="1" sqref="G18:G23 I18:I23 P18:P23 R18:R23 B28:B33 D28:D33 F28:F33 H28:H33 J28:J33 N28:N33">
      <formula1>$J$6:$J$7</formula1>
      <formula2>0</formula2>
    </dataValidation>
    <dataValidation type="list" operator="equal" allowBlank="1" showInputMessage="1" showErrorMessage="1" sqref="L28:L33">
      <formula1>$U$7:$U$7</formula1>
      <formula2>0</formula2>
    </dataValidation>
  </dataValidations>
  <pageMargins left="0.25" right="0.25" top="0.75" bottom="0.75" header="0.511811023622047" footer="0.511811023622047"/>
  <pageSetup paperSize="8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zoomScaleNormal="100" workbookViewId="0">
      <selection activeCell="C26" sqref="C26"/>
    </sheetView>
  </sheetViews>
  <sheetFormatPr baseColWidth="10" defaultColWidth="10.7265625" defaultRowHeight="14.5" x14ac:dyDescent="0.35"/>
  <cols>
    <col min="1" max="1" width="11.453125" style="1" customWidth="1"/>
    <col min="2" max="2" width="21.453125" style="190" customWidth="1"/>
    <col min="3" max="3" width="35.7265625" style="190" customWidth="1"/>
    <col min="4" max="4" width="21.453125" style="190" customWidth="1"/>
    <col min="5" max="5" width="21.453125" style="191" customWidth="1"/>
    <col min="6" max="6" width="11.453125" style="1" customWidth="1"/>
    <col min="7" max="7" width="4.7265625" style="1" customWidth="1"/>
    <col min="8" max="12" width="12.81640625" style="4" customWidth="1"/>
    <col min="13" max="19" width="11.453125" style="1" customWidth="1"/>
  </cols>
  <sheetData>
    <row r="1" spans="2:12" s="1" customFormat="1" x14ac:dyDescent="0.35">
      <c r="B1" s="191"/>
      <c r="C1" s="191"/>
      <c r="D1" s="191"/>
      <c r="E1" s="191"/>
      <c r="H1" s="4"/>
      <c r="I1" s="4"/>
      <c r="J1" s="4"/>
      <c r="K1" s="4"/>
      <c r="L1" s="4"/>
    </row>
    <row r="2" spans="2:12" s="1" customFormat="1" x14ac:dyDescent="0.35">
      <c r="B2" s="192"/>
      <c r="C2" s="192"/>
      <c r="D2" s="193" t="s">
        <v>86</v>
      </c>
      <c r="E2" s="194" t="s">
        <v>87</v>
      </c>
      <c r="H2" s="195"/>
      <c r="I2" s="196"/>
      <c r="J2" s="196"/>
      <c r="K2" s="197"/>
      <c r="L2" s="4"/>
    </row>
    <row r="3" spans="2:12" ht="25.5" customHeight="1" x14ac:dyDescent="0.35">
      <c r="B3" s="261" t="s">
        <v>29</v>
      </c>
      <c r="C3" s="261"/>
      <c r="D3" s="261"/>
      <c r="E3" s="261"/>
      <c r="H3" s="262"/>
      <c r="I3" s="262"/>
      <c r="J3" s="262"/>
      <c r="K3" s="262"/>
    </row>
    <row r="4" spans="2:12" x14ac:dyDescent="0.35">
      <c r="B4" s="199" t="s">
        <v>88</v>
      </c>
      <c r="C4" s="200" t="s">
        <v>89</v>
      </c>
      <c r="D4" s="200" t="s">
        <v>90</v>
      </c>
      <c r="E4" s="200" t="s">
        <v>91</v>
      </c>
      <c r="H4" s="201" t="s">
        <v>92</v>
      </c>
      <c r="I4" s="201">
        <v>4.6900000000000004</v>
      </c>
      <c r="J4" s="201"/>
      <c r="K4" s="201"/>
    </row>
    <row r="5" spans="2:12" ht="26" x14ac:dyDescent="0.35">
      <c r="B5" s="202" t="s">
        <v>93</v>
      </c>
      <c r="C5" s="200" t="s">
        <v>94</v>
      </c>
      <c r="D5" s="200" t="s">
        <v>95</v>
      </c>
      <c r="E5" s="200" t="s">
        <v>96</v>
      </c>
      <c r="H5" s="201" t="s">
        <v>97</v>
      </c>
      <c r="I5" s="201">
        <v>0.7</v>
      </c>
      <c r="J5" s="201" t="s">
        <v>98</v>
      </c>
      <c r="K5" s="201">
        <v>0.93</v>
      </c>
    </row>
    <row r="6" spans="2:12" x14ac:dyDescent="0.35">
      <c r="B6" s="203" t="s">
        <v>99</v>
      </c>
      <c r="C6" s="200" t="s">
        <v>78</v>
      </c>
      <c r="D6" s="200" t="s">
        <v>100</v>
      </c>
      <c r="E6" s="200" t="s">
        <v>100</v>
      </c>
      <c r="H6" s="201" t="s">
        <v>101</v>
      </c>
      <c r="I6" s="201">
        <v>4.5</v>
      </c>
      <c r="J6" s="201" t="s">
        <v>102</v>
      </c>
      <c r="K6" s="201">
        <v>1.5</v>
      </c>
    </row>
    <row r="7" spans="2:12" ht="26" x14ac:dyDescent="0.35">
      <c r="B7" s="203" t="s">
        <v>103</v>
      </c>
      <c r="C7" s="200" t="s">
        <v>78</v>
      </c>
      <c r="D7" s="200" t="s">
        <v>104</v>
      </c>
      <c r="E7" s="200" t="s">
        <v>104</v>
      </c>
      <c r="H7" s="201"/>
      <c r="I7" s="201"/>
      <c r="J7" s="201"/>
      <c r="K7" s="201"/>
    </row>
    <row r="8" spans="2:12" ht="15.75" customHeight="1" x14ac:dyDescent="0.35">
      <c r="B8" s="261" t="s">
        <v>30</v>
      </c>
      <c r="C8" s="261"/>
      <c r="D8" s="261"/>
      <c r="E8" s="261"/>
      <c r="H8" s="263"/>
      <c r="I8" s="263"/>
      <c r="J8" s="263"/>
      <c r="K8" s="263"/>
    </row>
    <row r="9" spans="2:12" ht="15.75" customHeight="1" x14ac:dyDescent="0.35">
      <c r="B9" s="264" t="s">
        <v>105</v>
      </c>
      <c r="C9" s="205" t="s">
        <v>106</v>
      </c>
      <c r="D9" s="205" t="s">
        <v>107</v>
      </c>
      <c r="E9" s="200" t="s">
        <v>108</v>
      </c>
      <c r="H9" s="206" t="s">
        <v>109</v>
      </c>
      <c r="I9" s="201">
        <v>1.48</v>
      </c>
      <c r="J9" s="206" t="s">
        <v>110</v>
      </c>
      <c r="K9" s="201">
        <v>1.97</v>
      </c>
    </row>
    <row r="10" spans="2:12" x14ac:dyDescent="0.35">
      <c r="B10" s="264"/>
      <c r="C10" s="205" t="s">
        <v>111</v>
      </c>
      <c r="D10" s="205" t="s">
        <v>112</v>
      </c>
      <c r="E10" s="200" t="s">
        <v>113</v>
      </c>
      <c r="H10" s="206" t="s">
        <v>114</v>
      </c>
      <c r="I10" s="201">
        <v>2.0099999999999998</v>
      </c>
      <c r="J10" s="206" t="s">
        <v>115</v>
      </c>
      <c r="K10" s="201">
        <v>2.67</v>
      </c>
    </row>
    <row r="11" spans="2:12" x14ac:dyDescent="0.35">
      <c r="B11" s="264"/>
      <c r="C11" s="205" t="s">
        <v>116</v>
      </c>
      <c r="D11" s="205" t="s">
        <v>117</v>
      </c>
      <c r="E11" s="200" t="s">
        <v>118</v>
      </c>
      <c r="H11" s="206" t="s">
        <v>119</v>
      </c>
      <c r="I11" s="201">
        <v>1.61</v>
      </c>
      <c r="J11" s="206" t="s">
        <v>120</v>
      </c>
      <c r="K11" s="201">
        <v>2.14</v>
      </c>
    </row>
    <row r="12" spans="2:12" ht="15.75" customHeight="1" x14ac:dyDescent="0.35">
      <c r="B12" s="265" t="s">
        <v>121</v>
      </c>
      <c r="C12" s="200" t="s">
        <v>36</v>
      </c>
      <c r="D12" s="200" t="s">
        <v>122</v>
      </c>
      <c r="E12" s="200" t="s">
        <v>123</v>
      </c>
      <c r="H12" s="206" t="s">
        <v>124</v>
      </c>
      <c r="I12" s="201">
        <v>2.29</v>
      </c>
      <c r="J12" s="206" t="s">
        <v>125</v>
      </c>
      <c r="K12" s="201">
        <v>3.05</v>
      </c>
    </row>
    <row r="13" spans="2:12" x14ac:dyDescent="0.35">
      <c r="B13" s="265"/>
      <c r="C13" s="200" t="s">
        <v>126</v>
      </c>
      <c r="D13" s="200" t="s">
        <v>127</v>
      </c>
      <c r="E13" s="200" t="s">
        <v>128</v>
      </c>
      <c r="H13" s="201" t="s">
        <v>129</v>
      </c>
      <c r="I13" s="201">
        <v>1.85</v>
      </c>
      <c r="J13" s="201" t="s">
        <v>130</v>
      </c>
      <c r="K13" s="201">
        <v>2.46</v>
      </c>
    </row>
    <row r="14" spans="2:12" ht="15.75" customHeight="1" x14ac:dyDescent="0.35">
      <c r="B14" s="265" t="s">
        <v>131</v>
      </c>
      <c r="C14" s="200" t="s">
        <v>132</v>
      </c>
      <c r="D14" s="200" t="s">
        <v>133</v>
      </c>
      <c r="E14" s="200" t="s">
        <v>134</v>
      </c>
      <c r="H14" s="201" t="s">
        <v>135</v>
      </c>
      <c r="I14" s="201">
        <v>2.8</v>
      </c>
      <c r="J14" s="201" t="s">
        <v>136</v>
      </c>
      <c r="K14" s="201">
        <v>3.72</v>
      </c>
    </row>
    <row r="15" spans="2:12" x14ac:dyDescent="0.35">
      <c r="B15" s="265"/>
      <c r="C15" s="200" t="s">
        <v>137</v>
      </c>
      <c r="D15" s="200" t="s">
        <v>138</v>
      </c>
      <c r="E15" s="200" t="s">
        <v>139</v>
      </c>
      <c r="H15" s="201" t="s">
        <v>140</v>
      </c>
      <c r="I15" s="201">
        <v>0.89</v>
      </c>
      <c r="J15" s="201" t="s">
        <v>141</v>
      </c>
      <c r="K15" s="201">
        <v>1.18</v>
      </c>
    </row>
    <row r="16" spans="2:12" x14ac:dyDescent="0.35">
      <c r="B16" s="265"/>
      <c r="C16" s="200" t="s">
        <v>142</v>
      </c>
      <c r="D16" s="200" t="s">
        <v>143</v>
      </c>
      <c r="E16" s="200" t="s">
        <v>144</v>
      </c>
      <c r="H16" s="201" t="s">
        <v>145</v>
      </c>
      <c r="I16" s="201">
        <v>2.0299999999999998</v>
      </c>
      <c r="J16" s="201" t="s">
        <v>146</v>
      </c>
      <c r="K16" s="201">
        <v>2.7</v>
      </c>
    </row>
    <row r="17" spans="2:12" x14ac:dyDescent="0.35">
      <c r="B17" s="265"/>
      <c r="C17" s="200" t="s">
        <v>147</v>
      </c>
      <c r="D17" s="200" t="s">
        <v>148</v>
      </c>
      <c r="E17" s="200" t="s">
        <v>149</v>
      </c>
      <c r="H17" s="201" t="s">
        <v>150</v>
      </c>
      <c r="I17" s="201">
        <v>1.33</v>
      </c>
      <c r="J17" s="201" t="s">
        <v>151</v>
      </c>
      <c r="K17" s="201">
        <v>1.77</v>
      </c>
    </row>
    <row r="18" spans="2:12" ht="42" x14ac:dyDescent="0.35">
      <c r="B18" s="265"/>
      <c r="C18" s="207" t="s">
        <v>152</v>
      </c>
      <c r="D18" s="200" t="s">
        <v>153</v>
      </c>
      <c r="E18" s="200" t="s">
        <v>154</v>
      </c>
      <c r="H18" s="201" t="s">
        <v>155</v>
      </c>
      <c r="I18" s="201">
        <v>0.72</v>
      </c>
      <c r="J18" s="201" t="s">
        <v>156</v>
      </c>
      <c r="K18" s="201">
        <v>0.95</v>
      </c>
    </row>
    <row r="19" spans="2:12" ht="26" x14ac:dyDescent="0.35">
      <c r="B19" s="265"/>
      <c r="C19" s="200" t="s">
        <v>157</v>
      </c>
      <c r="D19" s="200" t="s">
        <v>158</v>
      </c>
      <c r="E19" s="200" t="s">
        <v>159</v>
      </c>
      <c r="H19" s="201" t="s">
        <v>160</v>
      </c>
      <c r="I19" s="201">
        <v>0.22</v>
      </c>
      <c r="J19" s="201" t="s">
        <v>161</v>
      </c>
      <c r="K19" s="201">
        <v>0.28999999999999998</v>
      </c>
    </row>
    <row r="20" spans="2:12" ht="15.75" customHeight="1" thickBot="1" x14ac:dyDescent="0.4">
      <c r="B20" s="265" t="s">
        <v>162</v>
      </c>
      <c r="C20" s="200" t="s">
        <v>163</v>
      </c>
      <c r="D20" s="200" t="s">
        <v>164</v>
      </c>
      <c r="E20" s="200" t="s">
        <v>165</v>
      </c>
      <c r="H20" s="201" t="s">
        <v>166</v>
      </c>
      <c r="I20" s="201">
        <v>2.5</v>
      </c>
      <c r="J20" s="201" t="s">
        <v>167</v>
      </c>
      <c r="K20" s="201">
        <v>3.33</v>
      </c>
    </row>
    <row r="21" spans="2:12" ht="15" thickBot="1" x14ac:dyDescent="0.4">
      <c r="B21" s="266"/>
      <c r="C21" s="229" t="s">
        <v>168</v>
      </c>
      <c r="D21" s="229" t="s">
        <v>169</v>
      </c>
      <c r="E21" s="229" t="s">
        <v>170</v>
      </c>
      <c r="H21" s="201" t="s">
        <v>171</v>
      </c>
      <c r="I21" s="201">
        <v>1.82</v>
      </c>
      <c r="J21" s="201" t="s">
        <v>172</v>
      </c>
      <c r="K21" s="201">
        <v>2.42</v>
      </c>
    </row>
    <row r="22" spans="2:12" ht="16.5" customHeight="1" thickBot="1" x14ac:dyDescent="0.4">
      <c r="B22" s="267" t="s">
        <v>173</v>
      </c>
      <c r="C22" s="267"/>
      <c r="D22" s="208" t="s">
        <v>174</v>
      </c>
      <c r="E22" s="230" t="s">
        <v>175</v>
      </c>
      <c r="H22" s="263"/>
      <c r="I22" s="263"/>
      <c r="J22" s="263"/>
      <c r="K22" s="263"/>
    </row>
    <row r="23" spans="2:12" ht="16.5" customHeight="1" thickBot="1" x14ac:dyDescent="0.4">
      <c r="B23" s="269"/>
      <c r="C23" s="269"/>
      <c r="D23" s="269"/>
      <c r="E23" s="269"/>
      <c r="H23" s="268"/>
      <c r="I23" s="268"/>
      <c r="J23" s="268"/>
      <c r="K23" s="268"/>
    </row>
    <row r="24" spans="2:12" ht="15.75" customHeight="1" x14ac:dyDescent="0.35">
      <c r="B24" s="270"/>
      <c r="C24" s="228"/>
      <c r="D24" s="228"/>
      <c r="E24" s="228"/>
      <c r="H24" s="210"/>
      <c r="I24" s="210"/>
      <c r="J24" s="210"/>
      <c r="K24" s="210"/>
    </row>
    <row r="25" spans="2:12" x14ac:dyDescent="0.35">
      <c r="B25" s="270"/>
      <c r="C25" s="228"/>
      <c r="D25" s="228"/>
      <c r="E25" s="228"/>
      <c r="H25" s="210"/>
      <c r="I25" s="210"/>
      <c r="J25" s="210"/>
      <c r="K25" s="210"/>
    </row>
    <row r="26" spans="2:12" s="1" customFormat="1" x14ac:dyDescent="0.35">
      <c r="B26" s="191"/>
      <c r="C26" s="191"/>
      <c r="D26" s="191"/>
      <c r="E26" s="191"/>
      <c r="H26" s="210"/>
      <c r="I26" s="210"/>
      <c r="J26" s="210"/>
      <c r="K26" s="210"/>
      <c r="L26" s="4"/>
    </row>
    <row r="27" spans="2:12" s="1" customFormat="1" x14ac:dyDescent="0.35">
      <c r="B27" s="191"/>
      <c r="C27" s="191"/>
      <c r="D27" s="191"/>
      <c r="E27" s="191"/>
      <c r="H27" s="4"/>
      <c r="I27" s="4"/>
      <c r="J27" s="4"/>
      <c r="K27" s="4"/>
      <c r="L27" s="4"/>
    </row>
    <row r="28" spans="2:12" s="1" customFormat="1" x14ac:dyDescent="0.35">
      <c r="B28" s="191"/>
      <c r="C28" s="191"/>
      <c r="D28" s="191"/>
      <c r="E28" s="191"/>
      <c r="H28" s="4"/>
      <c r="I28" s="4"/>
      <c r="J28" s="210"/>
      <c r="K28" s="210"/>
      <c r="L28" s="4"/>
    </row>
    <row r="29" spans="2:12" s="1" customFormat="1" x14ac:dyDescent="0.35">
      <c r="B29" s="191"/>
      <c r="C29" s="191"/>
      <c r="D29" s="191"/>
      <c r="E29" s="191"/>
      <c r="H29" s="4"/>
      <c r="I29" s="4"/>
      <c r="J29" s="4"/>
      <c r="K29" s="4"/>
      <c r="L29" s="4"/>
    </row>
    <row r="30" spans="2:12" s="1" customFormat="1" x14ac:dyDescent="0.35">
      <c r="B30" s="191"/>
      <c r="C30" s="191"/>
      <c r="D30" s="191"/>
      <c r="E30" s="191"/>
      <c r="H30" s="4"/>
      <c r="I30" s="4"/>
      <c r="J30" s="4"/>
      <c r="K30" s="4"/>
      <c r="L30" s="4"/>
    </row>
    <row r="31" spans="2:12" s="1" customFormat="1" ht="25.5" customHeight="1" x14ac:dyDescent="0.35">
      <c r="B31" s="271" t="s">
        <v>176</v>
      </c>
      <c r="C31" s="271"/>
      <c r="D31" s="271"/>
      <c r="E31" s="191"/>
      <c r="H31" s="198"/>
      <c r="I31" s="198"/>
      <c r="J31" s="4"/>
      <c r="K31" s="4"/>
      <c r="L31" s="4"/>
    </row>
    <row r="32" spans="2:12" s="1" customFormat="1" ht="15.75" customHeight="1" x14ac:dyDescent="0.35">
      <c r="B32" s="264" t="s">
        <v>121</v>
      </c>
      <c r="C32" s="205" t="s">
        <v>36</v>
      </c>
      <c r="D32" s="205" t="s">
        <v>177</v>
      </c>
      <c r="E32" s="191"/>
      <c r="H32" s="201" t="s">
        <v>178</v>
      </c>
      <c r="I32" s="201">
        <v>3.41</v>
      </c>
      <c r="J32" s="4"/>
      <c r="K32" s="4"/>
      <c r="L32" s="4"/>
    </row>
    <row r="33" spans="2:12" s="1" customFormat="1" x14ac:dyDescent="0.35">
      <c r="B33" s="264"/>
      <c r="C33" s="205" t="s">
        <v>126</v>
      </c>
      <c r="D33" s="205" t="s">
        <v>179</v>
      </c>
      <c r="E33" s="191"/>
      <c r="H33" s="201" t="s">
        <v>180</v>
      </c>
      <c r="I33" s="201">
        <v>3.24</v>
      </c>
      <c r="J33" s="4"/>
      <c r="K33" s="4"/>
      <c r="L33" s="4"/>
    </row>
    <row r="34" spans="2:12" s="1" customFormat="1" ht="15.75" customHeight="1" x14ac:dyDescent="0.35">
      <c r="B34" s="271" t="s">
        <v>30</v>
      </c>
      <c r="C34" s="271"/>
      <c r="D34" s="271"/>
      <c r="E34" s="191"/>
      <c r="H34" s="204"/>
      <c r="I34" s="204"/>
      <c r="J34" s="4"/>
      <c r="K34" s="4"/>
      <c r="L34" s="4"/>
    </row>
    <row r="35" spans="2:12" s="1" customFormat="1" ht="15.75" customHeight="1" x14ac:dyDescent="0.35">
      <c r="B35" s="264" t="s">
        <v>105</v>
      </c>
      <c r="C35" s="205" t="s">
        <v>181</v>
      </c>
      <c r="D35" s="205" t="s">
        <v>182</v>
      </c>
      <c r="E35" s="191"/>
      <c r="H35" s="201" t="s">
        <v>183</v>
      </c>
      <c r="I35" s="201">
        <v>2.42</v>
      </c>
      <c r="J35" s="4"/>
      <c r="K35" s="4"/>
      <c r="L35" s="4"/>
    </row>
    <row r="36" spans="2:12" s="1" customFormat="1" x14ac:dyDescent="0.35">
      <c r="B36" s="264"/>
      <c r="C36" s="205" t="s">
        <v>184</v>
      </c>
      <c r="D36" s="205" t="s">
        <v>185</v>
      </c>
      <c r="E36" s="191"/>
      <c r="H36" s="201" t="s">
        <v>186</v>
      </c>
      <c r="I36" s="201">
        <v>3.6</v>
      </c>
      <c r="J36" s="4"/>
      <c r="K36" s="4"/>
      <c r="L36" s="4"/>
    </row>
    <row r="37" spans="2:12" s="1" customFormat="1" x14ac:dyDescent="0.35">
      <c r="B37" s="264"/>
      <c r="C37" s="205" t="s">
        <v>187</v>
      </c>
      <c r="D37" s="205" t="s">
        <v>188</v>
      </c>
      <c r="E37" s="191"/>
      <c r="H37" s="201" t="s">
        <v>189</v>
      </c>
      <c r="I37" s="201">
        <v>2.91</v>
      </c>
      <c r="J37" s="4"/>
      <c r="K37" s="4"/>
      <c r="L37" s="4"/>
    </row>
    <row r="38" spans="2:12" s="1" customFormat="1" x14ac:dyDescent="0.35">
      <c r="B38" s="264"/>
      <c r="C38" s="200"/>
      <c r="D38" s="200"/>
      <c r="E38" s="191"/>
      <c r="H38" s="201"/>
      <c r="I38" s="201"/>
      <c r="J38" s="4"/>
      <c r="K38" s="4"/>
      <c r="L38" s="4"/>
    </row>
    <row r="39" spans="2:12" s="1" customFormat="1" x14ac:dyDescent="0.35">
      <c r="B39" s="264"/>
      <c r="C39" s="205" t="s">
        <v>190</v>
      </c>
      <c r="D39" s="205" t="s">
        <v>191</v>
      </c>
      <c r="E39" s="191"/>
      <c r="H39" s="201" t="s">
        <v>192</v>
      </c>
      <c r="I39" s="201">
        <v>1.9</v>
      </c>
      <c r="J39" s="4"/>
      <c r="K39" s="4"/>
      <c r="L39" s="4"/>
    </row>
    <row r="40" spans="2:12" s="1" customFormat="1" x14ac:dyDescent="0.35">
      <c r="B40" s="264"/>
      <c r="C40" s="205" t="s">
        <v>193</v>
      </c>
      <c r="D40" s="205" t="s">
        <v>194</v>
      </c>
      <c r="E40" s="191"/>
      <c r="H40" s="201" t="s">
        <v>195</v>
      </c>
      <c r="I40" s="201">
        <v>2.21</v>
      </c>
      <c r="J40" s="4"/>
      <c r="K40" s="4"/>
      <c r="L40" s="4"/>
    </row>
    <row r="41" spans="2:12" s="1" customFormat="1" ht="15.75" customHeight="1" x14ac:dyDescent="0.35">
      <c r="B41" s="264" t="s">
        <v>162</v>
      </c>
      <c r="C41" s="205" t="s">
        <v>196</v>
      </c>
      <c r="D41" s="205" t="s">
        <v>197</v>
      </c>
      <c r="E41" s="191"/>
      <c r="H41" s="201" t="s">
        <v>198</v>
      </c>
      <c r="I41" s="201">
        <v>2.65</v>
      </c>
      <c r="J41" s="4"/>
      <c r="K41" s="4"/>
      <c r="L41" s="4"/>
    </row>
    <row r="42" spans="2:12" s="1" customFormat="1" x14ac:dyDescent="0.35">
      <c r="B42" s="264"/>
      <c r="C42" s="205" t="s">
        <v>199</v>
      </c>
      <c r="D42" s="205" t="s">
        <v>200</v>
      </c>
      <c r="E42" s="191"/>
      <c r="H42" s="201" t="s">
        <v>201</v>
      </c>
      <c r="I42" s="201">
        <v>1.88</v>
      </c>
      <c r="J42" s="4"/>
      <c r="K42" s="4"/>
      <c r="L42" s="4"/>
    </row>
    <row r="43" spans="2:12" s="1" customFormat="1" ht="15.75" customHeight="1" x14ac:dyDescent="0.35">
      <c r="B43" s="264" t="s">
        <v>202</v>
      </c>
      <c r="C43" s="205" t="s">
        <v>132</v>
      </c>
      <c r="D43" s="205" t="s">
        <v>203</v>
      </c>
      <c r="E43" s="191"/>
      <c r="H43" s="201" t="s">
        <v>204</v>
      </c>
      <c r="I43" s="201">
        <v>4.8</v>
      </c>
      <c r="J43" s="4"/>
      <c r="K43" s="4"/>
      <c r="L43" s="4"/>
    </row>
    <row r="44" spans="2:12" s="1" customFormat="1" x14ac:dyDescent="0.35">
      <c r="B44" s="264"/>
      <c r="C44" s="205" t="s">
        <v>142</v>
      </c>
      <c r="D44" s="205" t="s">
        <v>194</v>
      </c>
      <c r="E44" s="191"/>
      <c r="H44" s="201" t="s">
        <v>205</v>
      </c>
      <c r="I44" s="201">
        <v>2.21</v>
      </c>
      <c r="J44" s="4"/>
      <c r="K44" s="4"/>
      <c r="L44" s="4"/>
    </row>
    <row r="45" spans="2:12" s="1" customFormat="1" ht="65" x14ac:dyDescent="0.35">
      <c r="B45" s="264"/>
      <c r="C45" s="205" t="s">
        <v>152</v>
      </c>
      <c r="D45" s="205" t="s">
        <v>153</v>
      </c>
      <c r="E45" s="191"/>
      <c r="H45" s="201" t="s">
        <v>206</v>
      </c>
      <c r="I45" s="201">
        <v>0.72</v>
      </c>
      <c r="J45" s="4"/>
      <c r="K45" s="4"/>
      <c r="L45" s="4"/>
    </row>
    <row r="46" spans="2:12" s="1" customFormat="1" ht="26" x14ac:dyDescent="0.35">
      <c r="B46" s="264"/>
      <c r="C46" s="200" t="s">
        <v>157</v>
      </c>
      <c r="D46" s="200" t="s">
        <v>158</v>
      </c>
      <c r="E46" s="191"/>
      <c r="H46" s="201" t="s">
        <v>207</v>
      </c>
      <c r="I46" s="201">
        <v>0.22</v>
      </c>
      <c r="J46" s="4"/>
      <c r="K46" s="4"/>
      <c r="L46" s="4"/>
    </row>
    <row r="47" spans="2:12" s="1" customFormat="1" x14ac:dyDescent="0.35">
      <c r="B47" s="264"/>
      <c r="C47" s="205" t="s">
        <v>208</v>
      </c>
      <c r="D47" s="205" t="s">
        <v>209</v>
      </c>
      <c r="E47" s="191"/>
      <c r="H47" s="201" t="s">
        <v>210</v>
      </c>
      <c r="I47" s="201">
        <v>1.98</v>
      </c>
      <c r="J47" s="4"/>
      <c r="K47" s="4"/>
      <c r="L47" s="4"/>
    </row>
    <row r="48" spans="2:12" s="1" customFormat="1" x14ac:dyDescent="0.35">
      <c r="B48" s="264"/>
      <c r="C48" s="200" t="s">
        <v>84</v>
      </c>
      <c r="D48" s="200" t="s">
        <v>211</v>
      </c>
      <c r="E48" s="191"/>
      <c r="H48" s="201" t="s">
        <v>212</v>
      </c>
      <c r="I48" s="201">
        <v>19.32</v>
      </c>
      <c r="J48" s="4"/>
      <c r="K48" s="4"/>
      <c r="L48" s="4"/>
    </row>
    <row r="49" spans="2:12" s="1" customFormat="1" x14ac:dyDescent="0.35">
      <c r="B49" s="264"/>
      <c r="C49" s="200" t="s">
        <v>213</v>
      </c>
      <c r="D49" s="200" t="s">
        <v>214</v>
      </c>
      <c r="E49" s="191"/>
      <c r="H49" s="201" t="s">
        <v>215</v>
      </c>
      <c r="I49" s="201">
        <v>5</v>
      </c>
      <c r="J49" s="4"/>
      <c r="K49" s="4"/>
      <c r="L49" s="4"/>
    </row>
    <row r="50" spans="2:12" s="1" customFormat="1" ht="16.5" customHeight="1" thickBot="1" x14ac:dyDescent="0.4">
      <c r="B50" s="267" t="s">
        <v>216</v>
      </c>
      <c r="C50" s="267"/>
      <c r="D50" s="209" t="s">
        <v>217</v>
      </c>
      <c r="E50" s="191"/>
      <c r="H50" s="204"/>
      <c r="I50" s="204"/>
      <c r="J50" s="4"/>
      <c r="K50" s="4"/>
      <c r="L50" s="4"/>
    </row>
    <row r="51" spans="2:12" s="1" customFormat="1" ht="16.5" customHeight="1" thickBot="1" x14ac:dyDescent="0.4">
      <c r="B51" s="267" t="s">
        <v>218</v>
      </c>
      <c r="C51" s="267"/>
      <c r="D51" s="232" t="s">
        <v>219</v>
      </c>
      <c r="E51" s="191"/>
      <c r="H51" s="233"/>
      <c r="I51" s="233"/>
      <c r="J51" s="4"/>
      <c r="K51" s="4"/>
      <c r="L51" s="4"/>
    </row>
    <row r="52" spans="2:12" s="1" customFormat="1" ht="15.75" customHeight="1" x14ac:dyDescent="0.35">
      <c r="B52" s="270"/>
      <c r="C52" s="228"/>
      <c r="D52" s="228"/>
      <c r="E52" s="231"/>
      <c r="F52" s="8"/>
      <c r="G52" s="8"/>
      <c r="H52" s="210"/>
      <c r="I52" s="210"/>
      <c r="J52" s="4"/>
      <c r="K52" s="4"/>
      <c r="L52" s="4"/>
    </row>
    <row r="53" spans="2:12" s="1" customFormat="1" x14ac:dyDescent="0.35">
      <c r="B53" s="270"/>
      <c r="C53" s="228"/>
      <c r="D53" s="228"/>
      <c r="E53" s="231"/>
      <c r="F53" s="8"/>
      <c r="G53" s="8"/>
      <c r="H53" s="210"/>
      <c r="I53" s="210"/>
      <c r="J53" s="4"/>
      <c r="K53" s="4"/>
      <c r="L53" s="4"/>
    </row>
    <row r="54" spans="2:12" s="1" customFormat="1" x14ac:dyDescent="0.35">
      <c r="B54" s="191"/>
      <c r="C54" s="191"/>
      <c r="D54" s="191"/>
      <c r="E54" s="191"/>
      <c r="H54" s="4"/>
      <c r="I54" s="4"/>
      <c r="J54" s="4"/>
      <c r="K54" s="4"/>
      <c r="L54" s="4"/>
    </row>
    <row r="55" spans="2:12" s="1" customFormat="1" x14ac:dyDescent="0.35">
      <c r="B55" s="191"/>
      <c r="C55" s="191"/>
      <c r="D55" s="191"/>
      <c r="E55" s="191"/>
      <c r="H55" s="4"/>
      <c r="I55" s="4"/>
      <c r="J55" s="4"/>
      <c r="K55" s="4"/>
      <c r="L55" s="4"/>
    </row>
    <row r="56" spans="2:12" s="1" customFormat="1" x14ac:dyDescent="0.35">
      <c r="B56" s="191"/>
      <c r="C56" s="191"/>
      <c r="D56" s="191"/>
      <c r="E56" s="191"/>
      <c r="H56" s="4"/>
      <c r="I56" s="4"/>
      <c r="J56" s="4"/>
      <c r="K56" s="4"/>
      <c r="L56" s="4"/>
    </row>
    <row r="57" spans="2:12" s="1" customFormat="1" x14ac:dyDescent="0.35">
      <c r="B57" s="191"/>
      <c r="C57" s="191"/>
      <c r="D57" s="191"/>
      <c r="E57" s="191"/>
      <c r="H57" s="4"/>
      <c r="I57" s="4"/>
      <c r="J57" s="4"/>
      <c r="K57" s="4"/>
      <c r="L57" s="4"/>
    </row>
    <row r="58" spans="2:12" s="1" customFormat="1" x14ac:dyDescent="0.35">
      <c r="B58" s="191"/>
      <c r="C58" s="191"/>
      <c r="D58" s="191"/>
      <c r="E58" s="191"/>
      <c r="H58" s="4"/>
      <c r="I58" s="4"/>
      <c r="J58" s="4"/>
      <c r="K58" s="4"/>
      <c r="L58" s="4"/>
    </row>
    <row r="59" spans="2:12" s="1" customFormat="1" x14ac:dyDescent="0.35">
      <c r="B59" s="191"/>
      <c r="C59" s="191"/>
      <c r="D59" s="191"/>
      <c r="E59" s="191"/>
      <c r="H59" s="4"/>
      <c r="I59" s="4"/>
      <c r="J59" s="4"/>
      <c r="K59" s="4"/>
      <c r="L59" s="4"/>
    </row>
    <row r="60" spans="2:12" s="1" customFormat="1" x14ac:dyDescent="0.35">
      <c r="B60" s="191"/>
      <c r="C60" s="191"/>
      <c r="D60" s="191"/>
      <c r="E60" s="191"/>
      <c r="H60" s="4"/>
      <c r="I60" s="4"/>
      <c r="J60" s="4"/>
      <c r="K60" s="4"/>
      <c r="L60" s="4"/>
    </row>
    <row r="61" spans="2:12" s="1" customFormat="1" x14ac:dyDescent="0.35">
      <c r="B61" s="191"/>
      <c r="C61" s="191"/>
      <c r="D61" s="191"/>
      <c r="E61" s="191"/>
      <c r="H61" s="4"/>
      <c r="I61" s="4"/>
      <c r="J61" s="4"/>
      <c r="K61" s="4"/>
      <c r="L61" s="4"/>
    </row>
    <row r="62" spans="2:12" s="1" customFormat="1" x14ac:dyDescent="0.35">
      <c r="B62" s="191"/>
      <c r="C62" s="191"/>
      <c r="D62" s="191"/>
      <c r="E62" s="191"/>
      <c r="H62" s="4"/>
      <c r="I62" s="4"/>
      <c r="J62" s="4"/>
      <c r="K62" s="4"/>
      <c r="L62" s="4"/>
    </row>
    <row r="63" spans="2:12" s="1" customFormat="1" x14ac:dyDescent="0.35">
      <c r="B63" s="191"/>
      <c r="C63" s="191"/>
      <c r="D63" s="191"/>
      <c r="E63" s="191"/>
      <c r="H63" s="4"/>
      <c r="I63" s="4"/>
      <c r="J63" s="4"/>
      <c r="K63" s="4"/>
      <c r="L63" s="4"/>
    </row>
    <row r="64" spans="2:12" s="1" customFormat="1" x14ac:dyDescent="0.35">
      <c r="B64" s="191"/>
      <c r="C64" s="191"/>
      <c r="D64" s="191"/>
      <c r="E64" s="191"/>
      <c r="H64" s="4"/>
      <c r="I64" s="4"/>
      <c r="J64" s="4"/>
      <c r="K64" s="4"/>
      <c r="L64" s="4"/>
    </row>
    <row r="65" spans="2:12" s="1" customFormat="1" x14ac:dyDescent="0.35">
      <c r="B65" s="191"/>
      <c r="C65" s="191"/>
      <c r="D65" s="191"/>
      <c r="E65" s="191"/>
      <c r="H65" s="4"/>
      <c r="I65" s="4"/>
      <c r="J65" s="4"/>
      <c r="K65" s="4"/>
      <c r="L65" s="4"/>
    </row>
    <row r="66" spans="2:12" s="1" customFormat="1" x14ac:dyDescent="0.35">
      <c r="B66" s="191"/>
      <c r="C66" s="191"/>
      <c r="D66" s="191"/>
      <c r="E66" s="191"/>
      <c r="H66" s="4"/>
      <c r="I66" s="4"/>
      <c r="J66" s="4"/>
      <c r="K66" s="4"/>
      <c r="L66" s="4"/>
    </row>
    <row r="67" spans="2:12" s="1" customFormat="1" x14ac:dyDescent="0.35">
      <c r="B67" s="191"/>
      <c r="C67" s="191"/>
      <c r="D67" s="191"/>
      <c r="E67" s="191"/>
      <c r="H67" s="4"/>
      <c r="I67" s="4"/>
      <c r="J67" s="4"/>
      <c r="K67" s="4"/>
      <c r="L67" s="4"/>
    </row>
    <row r="68" spans="2:12" s="1" customFormat="1" x14ac:dyDescent="0.35">
      <c r="B68" s="191"/>
      <c r="C68" s="191"/>
      <c r="D68" s="191"/>
      <c r="E68" s="191"/>
      <c r="H68" s="4"/>
      <c r="I68" s="4"/>
      <c r="J68" s="4"/>
      <c r="K68" s="4"/>
      <c r="L68" s="4"/>
    </row>
    <row r="69" spans="2:12" s="1" customFormat="1" x14ac:dyDescent="0.35">
      <c r="B69" s="191"/>
      <c r="C69" s="191"/>
      <c r="D69" s="191"/>
      <c r="E69" s="191"/>
      <c r="H69" s="4"/>
      <c r="I69" s="4"/>
      <c r="J69" s="4"/>
      <c r="K69" s="4"/>
      <c r="L69" s="4"/>
    </row>
  </sheetData>
  <sheetProtection sheet="1" objects="1" scenarios="1"/>
  <mergeCells count="21">
    <mergeCell ref="B41:B42"/>
    <mergeCell ref="B43:B49"/>
    <mergeCell ref="B50:C50"/>
    <mergeCell ref="B51:C51"/>
    <mergeCell ref="B52:B53"/>
    <mergeCell ref="B24:B25"/>
    <mergeCell ref="B31:D31"/>
    <mergeCell ref="B32:B33"/>
    <mergeCell ref="B34:D34"/>
    <mergeCell ref="B35:B40"/>
    <mergeCell ref="B12:B13"/>
    <mergeCell ref="B14:B19"/>
    <mergeCell ref="B20:B21"/>
    <mergeCell ref="B22:C22"/>
    <mergeCell ref="H22:K23"/>
    <mergeCell ref="B23:E23"/>
    <mergeCell ref="B3:E3"/>
    <mergeCell ref="H3:K3"/>
    <mergeCell ref="B8:E8"/>
    <mergeCell ref="H8:K8"/>
    <mergeCell ref="B9:B1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5"/>
  <sheetViews>
    <sheetView zoomScaleNormal="100" workbookViewId="0">
      <selection activeCell="C18" sqref="C18"/>
    </sheetView>
  </sheetViews>
  <sheetFormatPr baseColWidth="10" defaultColWidth="10.7265625" defaultRowHeight="14.5" x14ac:dyDescent="0.35"/>
  <cols>
    <col min="1" max="1" width="10.7265625" style="211"/>
    <col min="2" max="2" width="24.26953125" style="211" customWidth="1"/>
    <col min="3" max="3" width="16.36328125" style="211" customWidth="1"/>
    <col min="4" max="1024" width="10.7265625" style="211"/>
  </cols>
  <sheetData>
    <row r="1" spans="1:40" x14ac:dyDescent="0.3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0" x14ac:dyDescent="0.35">
      <c r="A2" s="131"/>
      <c r="B2" s="272" t="s">
        <v>220</v>
      </c>
      <c r="C2" s="272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1:40" x14ac:dyDescent="0.35">
      <c r="A3" s="131"/>
      <c r="B3" s="212" t="s">
        <v>221</v>
      </c>
      <c r="C3" s="212">
        <f>COUNTA(Haies!C18:C27)</f>
        <v>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</row>
    <row r="4" spans="1:40" x14ac:dyDescent="0.35">
      <c r="A4" s="131"/>
      <c r="B4" s="212" t="s">
        <v>222</v>
      </c>
      <c r="C4" s="212">
        <f>Haies!D28</f>
        <v>100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x14ac:dyDescent="0.35">
      <c r="A5" s="131"/>
      <c r="B5" s="212" t="s">
        <v>223</v>
      </c>
      <c r="C5" s="212">
        <f>Haies!H28</f>
        <v>66.666666666666671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</row>
    <row r="6" spans="1:40" ht="15.5" x14ac:dyDescent="0.35">
      <c r="A6" s="131"/>
      <c r="B6" s="213" t="s">
        <v>59</v>
      </c>
      <c r="C6" s="214">
        <f>Haies!D63</f>
        <v>670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</row>
    <row r="7" spans="1:40" ht="15.5" x14ac:dyDescent="0.35">
      <c r="A7" s="131"/>
      <c r="B7" s="213" t="s">
        <v>60</v>
      </c>
      <c r="C7" s="215">
        <f>Haies!D64</f>
        <v>1175.5899999999999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</row>
    <row r="8" spans="1:40" x14ac:dyDescent="0.35">
      <c r="A8" s="131"/>
      <c r="B8" s="212" t="s">
        <v>224</v>
      </c>
      <c r="C8" s="215">
        <f>Haies!C61</f>
        <v>1845.59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x14ac:dyDescent="0.3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x14ac:dyDescent="0.3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x14ac:dyDescent="0.35">
      <c r="A11" s="131"/>
      <c r="B11" s="272" t="s">
        <v>225</v>
      </c>
      <c r="C11" s="272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</row>
    <row r="12" spans="1:40" x14ac:dyDescent="0.35">
      <c r="A12" s="131"/>
      <c r="B12" s="212" t="s">
        <v>223</v>
      </c>
      <c r="C12" s="212">
        <f>Agroforesterie!E24</f>
        <v>70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</row>
    <row r="13" spans="1:40" ht="15.5" x14ac:dyDescent="0.35">
      <c r="A13" s="131"/>
      <c r="B13" s="213" t="s">
        <v>59</v>
      </c>
      <c r="C13" s="214">
        <f>Agroforesterie!D36</f>
        <v>238.70000000000002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</row>
    <row r="14" spans="1:40" ht="15.5" x14ac:dyDescent="0.35">
      <c r="A14" s="131"/>
      <c r="B14" s="213" t="s">
        <v>60</v>
      </c>
      <c r="C14" s="214">
        <f>Agroforesterie!D37</f>
        <v>2735.8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</row>
    <row r="15" spans="1:40" ht="15.5" x14ac:dyDescent="0.35">
      <c r="A15" s="131"/>
      <c r="B15" s="216" t="s">
        <v>224</v>
      </c>
      <c r="C15" s="214">
        <f>Agroforesterie!C40</f>
        <v>2974.5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</row>
    <row r="16" spans="1:40" x14ac:dyDescent="0.3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</row>
    <row r="17" spans="1:40" x14ac:dyDescent="0.35">
      <c r="A17" s="131"/>
      <c r="B17" s="212" t="s">
        <v>226</v>
      </c>
      <c r="C17" s="217">
        <f>SUM(C8+C15)</f>
        <v>4820.09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</row>
    <row r="18" spans="1:40" x14ac:dyDescent="0.35">
      <c r="A18" s="131"/>
      <c r="B18" s="212" t="s">
        <v>227</v>
      </c>
      <c r="C18" s="212">
        <f>C5+C12</f>
        <v>136.66666666666669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</row>
    <row r="19" spans="1:40" x14ac:dyDescent="0.3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</row>
    <row r="20" spans="1:40" x14ac:dyDescent="0.3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</row>
    <row r="21" spans="1:40" x14ac:dyDescent="0.3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</row>
    <row r="22" spans="1:40" x14ac:dyDescent="0.3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</row>
    <row r="23" spans="1:40" x14ac:dyDescent="0.3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</row>
    <row r="24" spans="1:40" x14ac:dyDescent="0.3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</row>
    <row r="25" spans="1:40" x14ac:dyDescent="0.3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</row>
    <row r="26" spans="1:40" x14ac:dyDescent="0.3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</row>
    <row r="27" spans="1:40" x14ac:dyDescent="0.3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</row>
    <row r="28" spans="1:40" x14ac:dyDescent="0.3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</row>
    <row r="29" spans="1:40" x14ac:dyDescent="0.3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</row>
    <row r="30" spans="1:40" x14ac:dyDescent="0.3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</row>
    <row r="31" spans="1:40" x14ac:dyDescent="0.3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</row>
    <row r="32" spans="1:40" x14ac:dyDescent="0.3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</row>
    <row r="33" spans="1:40" x14ac:dyDescent="0.3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</row>
    <row r="34" spans="1:40" x14ac:dyDescent="0.3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</row>
    <row r="35" spans="1:40" x14ac:dyDescent="0.3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</row>
    <row r="36" spans="1:40" x14ac:dyDescent="0.3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</row>
    <row r="37" spans="1:40" x14ac:dyDescent="0.3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</row>
    <row r="38" spans="1:40" x14ac:dyDescent="0.3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</row>
    <row r="39" spans="1:40" x14ac:dyDescent="0.3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</row>
    <row r="40" spans="1:40" x14ac:dyDescent="0.3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</row>
    <row r="41" spans="1:40" x14ac:dyDescent="0.3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</row>
    <row r="42" spans="1:40" x14ac:dyDescent="0.3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spans="1:40" x14ac:dyDescent="0.3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</row>
    <row r="44" spans="1:40" x14ac:dyDescent="0.3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x14ac:dyDescent="0.3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</row>
    <row r="46" spans="1:40" x14ac:dyDescent="0.3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  <row r="47" spans="1:40" x14ac:dyDescent="0.3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</row>
    <row r="48" spans="1:40" x14ac:dyDescent="0.3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</row>
    <row r="49" spans="1:40" x14ac:dyDescent="0.3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</row>
    <row r="50" spans="1:40" x14ac:dyDescent="0.3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</row>
    <row r="51" spans="1:40" x14ac:dyDescent="0.3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</row>
    <row r="52" spans="1:40" x14ac:dyDescent="0.3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</row>
    <row r="53" spans="1:40" x14ac:dyDescent="0.3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</row>
    <row r="54" spans="1:40" x14ac:dyDescent="0.3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</row>
    <row r="55" spans="1:40" x14ac:dyDescent="0.3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</row>
    <row r="56" spans="1:40" x14ac:dyDescent="0.3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</row>
    <row r="57" spans="1:40" x14ac:dyDescent="0.3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</row>
    <row r="58" spans="1:40" x14ac:dyDescent="0.3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</row>
    <row r="59" spans="1:40" x14ac:dyDescent="0.3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</row>
    <row r="60" spans="1:40" x14ac:dyDescent="0.3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</row>
    <row r="61" spans="1:40" x14ac:dyDescent="0.3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</row>
    <row r="62" spans="1:40" x14ac:dyDescent="0.3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</row>
    <row r="63" spans="1:40" x14ac:dyDescent="0.3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</row>
    <row r="64" spans="1:40" x14ac:dyDescent="0.3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</row>
    <row r="65" spans="1:40" x14ac:dyDescent="0.3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</row>
    <row r="66" spans="1:40" x14ac:dyDescent="0.3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</row>
    <row r="67" spans="1:40" x14ac:dyDescent="0.3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</row>
    <row r="68" spans="1:40" x14ac:dyDescent="0.3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</row>
    <row r="69" spans="1:40" x14ac:dyDescent="0.3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</row>
    <row r="70" spans="1:40" x14ac:dyDescent="0.3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</row>
    <row r="71" spans="1:40" x14ac:dyDescent="0.3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</row>
    <row r="72" spans="1:40" x14ac:dyDescent="0.3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</row>
    <row r="73" spans="1:40" x14ac:dyDescent="0.3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</row>
    <row r="74" spans="1:40" x14ac:dyDescent="0.3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</row>
    <row r="75" spans="1:40" x14ac:dyDescent="0.3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</row>
    <row r="76" spans="1:40" x14ac:dyDescent="0.3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</row>
    <row r="77" spans="1:40" x14ac:dyDescent="0.3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</row>
    <row r="78" spans="1:40" x14ac:dyDescent="0.3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</row>
    <row r="79" spans="1:40" x14ac:dyDescent="0.3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</row>
    <row r="80" spans="1:40" x14ac:dyDescent="0.3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</row>
    <row r="81" spans="1:40" x14ac:dyDescent="0.3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</row>
    <row r="82" spans="1:40" x14ac:dyDescent="0.3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</row>
    <row r="83" spans="1:40" x14ac:dyDescent="0.3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</row>
    <row r="84" spans="1:40" x14ac:dyDescent="0.3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</row>
    <row r="85" spans="1:40" x14ac:dyDescent="0.3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</row>
    <row r="86" spans="1:40" x14ac:dyDescent="0.3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</row>
    <row r="87" spans="1:40" x14ac:dyDescent="0.3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</row>
    <row r="88" spans="1:40" x14ac:dyDescent="0.3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</row>
    <row r="89" spans="1:40" x14ac:dyDescent="0.3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</row>
    <row r="90" spans="1:40" x14ac:dyDescent="0.3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</row>
    <row r="91" spans="1:40" x14ac:dyDescent="0.3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</row>
    <row r="92" spans="1:40" x14ac:dyDescent="0.3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</row>
    <row r="93" spans="1:40" x14ac:dyDescent="0.3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</row>
    <row r="94" spans="1:40" x14ac:dyDescent="0.3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</row>
    <row r="95" spans="1:40" x14ac:dyDescent="0.3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</row>
    <row r="96" spans="1:40" x14ac:dyDescent="0.3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</row>
    <row r="97" spans="1:40" x14ac:dyDescent="0.3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</row>
    <row r="98" spans="1:40" x14ac:dyDescent="0.3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</row>
    <row r="99" spans="1:40" x14ac:dyDescent="0.3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</row>
    <row r="100" spans="1:40" x14ac:dyDescent="0.3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</row>
    <row r="101" spans="1:40" x14ac:dyDescent="0.3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</row>
    <row r="102" spans="1:40" x14ac:dyDescent="0.3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</row>
    <row r="103" spans="1:40" x14ac:dyDescent="0.3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</row>
    <row r="104" spans="1:40" x14ac:dyDescent="0.3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</row>
    <row r="105" spans="1:40" x14ac:dyDescent="0.3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</row>
    <row r="106" spans="1:40" x14ac:dyDescent="0.3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</row>
    <row r="107" spans="1:40" x14ac:dyDescent="0.3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</row>
    <row r="108" spans="1:40" x14ac:dyDescent="0.3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</row>
    <row r="109" spans="1:40" x14ac:dyDescent="0.3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</row>
    <row r="110" spans="1:40" x14ac:dyDescent="0.3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</row>
    <row r="111" spans="1:40" x14ac:dyDescent="0.3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</row>
    <row r="112" spans="1:40" x14ac:dyDescent="0.3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</row>
    <row r="113" spans="1:40" x14ac:dyDescent="0.3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</row>
    <row r="114" spans="1:40" x14ac:dyDescent="0.3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</row>
    <row r="115" spans="1:40" x14ac:dyDescent="0.3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</row>
    <row r="116" spans="1:40" x14ac:dyDescent="0.3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</row>
    <row r="117" spans="1:40" x14ac:dyDescent="0.3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</row>
    <row r="118" spans="1:40" x14ac:dyDescent="0.3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</row>
    <row r="119" spans="1:40" x14ac:dyDescent="0.3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</row>
    <row r="120" spans="1:40" x14ac:dyDescent="0.3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</row>
    <row r="121" spans="1:40" x14ac:dyDescent="0.3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</row>
    <row r="122" spans="1:40" x14ac:dyDescent="0.3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</row>
    <row r="123" spans="1:40" x14ac:dyDescent="0.3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</row>
    <row r="124" spans="1:40" x14ac:dyDescent="0.35">
      <c r="A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</row>
    <row r="125" spans="1:40" x14ac:dyDescent="0.35">
      <c r="A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</row>
  </sheetData>
  <sheetProtection sheet="1" objects="1" scenarios="1"/>
  <mergeCells count="2">
    <mergeCell ref="B2:C2"/>
    <mergeCell ref="B11:C1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57</vt:i4>
      </vt:variant>
    </vt:vector>
  </HeadingPairs>
  <TitlesOfParts>
    <vt:vector size="61" baseType="lpstr">
      <vt:lpstr>Haies</vt:lpstr>
      <vt:lpstr>Agroforesterie</vt:lpstr>
      <vt:lpstr>Barême</vt:lpstr>
      <vt:lpstr>Récapitulatif</vt:lpstr>
      <vt:lpstr>agrarbu</vt:lpstr>
      <vt:lpstr>agrarbuvl</vt:lpstr>
      <vt:lpstr>agrdom</vt:lpstr>
      <vt:lpstr>agrent</vt:lpstr>
      <vt:lpstr>agrfor</vt:lpstr>
      <vt:lpstr>agrfru</vt:lpstr>
      <vt:lpstr>agrmfr</vt:lpstr>
      <vt:lpstr>agroplt</vt:lpstr>
      <vt:lpstr>agrosol</vt:lpstr>
      <vt:lpstr>agrpaill</vt:lpstr>
      <vt:lpstr>agrper</vt:lpstr>
      <vt:lpstr>agrplss</vt:lpstr>
      <vt:lpstr>agrpopaill</vt:lpstr>
      <vt:lpstr>agrposedom</vt:lpstr>
      <vt:lpstr>agrposegg</vt:lpstr>
      <vt:lpstr>agrprotgg</vt:lpstr>
      <vt:lpstr>agrtrico</vt:lpstr>
      <vt:lpstr>agrtricopep</vt:lpstr>
      <vt:lpstr>agrvl</vt:lpstr>
      <vt:lpstr>barb</vt:lpstr>
      <vt:lpstr>ben1r</vt:lpstr>
      <vt:lpstr>ben2r</vt:lpstr>
      <vt:lpstr>elec</vt:lpstr>
      <vt:lpstr>ent1r</vt:lpstr>
      <vt:lpstr>ent2r</vt:lpstr>
      <vt:lpstr>miseplant1r</vt:lpstr>
      <vt:lpstr>miseplant2r</vt:lpstr>
      <vt:lpstr>paill1r</vt:lpstr>
      <vt:lpstr>paill2r</vt:lpstr>
      <vt:lpstr>plant1r</vt:lpstr>
      <vt:lpstr>plant2r</vt:lpstr>
      <vt:lpstr>plantmfr1r</vt:lpstr>
      <vt:lpstr>plantmfr2r</vt:lpstr>
      <vt:lpstr>plantvl1r</vt:lpstr>
      <vt:lpstr>plantvl2r</vt:lpstr>
      <vt:lpstr>posegg1r</vt:lpstr>
      <vt:lpstr>posegg2r</vt:lpstr>
      <vt:lpstr>posepaill1r</vt:lpstr>
      <vt:lpstr>posepaill2r</vt:lpstr>
      <vt:lpstr>posepg1r</vt:lpstr>
      <vt:lpstr>posepg2r</vt:lpstr>
      <vt:lpstr>prep1r</vt:lpstr>
      <vt:lpstr>prep2r</vt:lpstr>
      <vt:lpstr>protgg1r</vt:lpstr>
      <vt:lpstr>protgg2r</vt:lpstr>
      <vt:lpstr>protpg1r</vt:lpstr>
      <vt:lpstr>protpg2r</vt:lpstr>
      <vt:lpstr>taille1r</vt:lpstr>
      <vt:lpstr>taille2r</vt:lpstr>
      <vt:lpstr>talus</vt:lpstr>
      <vt:lpstr>tric1r</vt:lpstr>
      <vt:lpstr>tric2r</vt:lpstr>
      <vt:lpstr>tricpep1r</vt:lpstr>
      <vt:lpstr>tricpep2r</vt:lpstr>
      <vt:lpstr>Agroforesterie!Zone_d_impression</vt:lpstr>
      <vt:lpstr>Haies!Zone_d_impression</vt:lpstr>
      <vt:lpstr>Récapitulatif!Zone_d_impression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 DELACROIX</dc:creator>
  <dc:description/>
  <cp:lastModifiedBy>DODIN Maxence</cp:lastModifiedBy>
  <cp:revision>10</cp:revision>
  <cp:lastPrinted>2024-02-15T10:24:39Z</cp:lastPrinted>
  <dcterms:created xsi:type="dcterms:W3CDTF">2024-01-18T08:18:00Z</dcterms:created>
  <dcterms:modified xsi:type="dcterms:W3CDTF">2024-06-13T06:35:57Z</dcterms:modified>
  <dc:language>fr-FR</dc:language>
</cp:coreProperties>
</file>